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Ex2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1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9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1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2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0.xml" ContentType="application/vnd.openxmlformats-officedocument.drawing+xml"/>
  <Override PartName="/xl/tables/table1.xml" ContentType="application/vnd.openxmlformats-officedocument.spreadsheetml.table+xml"/>
  <Override PartName="/xl/charts/chart36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7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8.xml" ContentType="application/vnd.openxmlformats-officedocument.drawingml.chart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efla.sharepoint.com/sites/wp_Projects60265/Documents/08 Sameiginlegt/"/>
    </mc:Choice>
  </mc:AlternateContent>
  <xr:revisionPtr revIDLastSave="14" documentId="8_{AE9247DD-B48C-4D2D-9DB2-8D79BCC1A9F4}" xr6:coauthVersionLast="47" xr6:coauthVersionMax="47" xr10:uidLastSave="{7E36E5A5-F113-4A91-8A27-2937A5F7D704}"/>
  <workbookProtection workbookAlgorithmName="SHA-512" workbookHashValue="AWWfQdP+G12uXrGyzL3AFyfr6nwFcSS+LE6/KPTgZW5xgCYbViknxsJ8UK2jp6HQ3zcT4QuDn+jyGMMvK3kuVQ==" workbookSaltValue="02M7DHMAbE/ApaE3j6aO4A==" workbookSpinCount="100000" lockStructure="1"/>
  <bookViews>
    <workbookView xWindow="12710" yWindow="2440" windowWidth="19380" windowHeight="10260" firstSheet="1" activeTab="1" xr2:uid="{756F83E9-24F9-4BDE-8277-432F308AA899}"/>
    <workbookView xWindow="-120" yWindow="-120" windowWidth="38640" windowHeight="21120" firstSheet="1" activeTab="1" xr2:uid="{4625D358-9B8C-4001-805E-CBE89D6FC08D}"/>
  </bookViews>
  <sheets>
    <sheet name="Almennir losunarliðir" sheetId="4" state="hidden" r:id="rId1"/>
    <sheet name="Mælaborð" sheetId="2" r:id="rId2"/>
    <sheet name="Dashboard" sheetId="19" r:id="rId3"/>
    <sheet name="Reykjavík" sheetId="3" state="hidden" r:id="rId4"/>
    <sheet name="Byggingariðnaður" sheetId="21" state="hidden" r:id="rId5"/>
    <sheet name="Orka" sheetId="9" state="hidden" r:id="rId6"/>
    <sheet name="Umferð" sheetId="10" state="hidden" r:id="rId7"/>
    <sheet name="Götuumferð" sheetId="15" state="hidden" r:id="rId8"/>
    <sheet name="Flug" sheetId="11" state="hidden" r:id="rId9"/>
    <sheet name="Skip" sheetId="12" state="hidden" r:id="rId10"/>
    <sheet name="Úrgangur" sheetId="16" state="hidden" r:id="rId11"/>
    <sheet name="Álfsnes - Urðun" sheetId="20" state="hidden" r:id="rId12"/>
    <sheet name="Fráveita" sheetId="17" state="hidden" r:id="rId13"/>
    <sheet name="Landbúnaður og landnotkun" sheetId="13" state="hidden" r:id="rId14"/>
    <sheet name="Breytingar" sheetId="18" r:id="rId15"/>
  </sheets>
  <externalReferences>
    <externalReference r:id="rId16"/>
    <externalReference r:id="rId17"/>
    <externalReference r:id="rId18"/>
    <externalReference r:id="rId19"/>
    <externalReference r:id="rId20"/>
  </externalReferences>
  <definedNames>
    <definedName name="_xlchart.v1.0" hidden="1">Reykjavík!$A$176:$A$191</definedName>
    <definedName name="_xlchart.v1.1" hidden="1">Reykjavík!$M$176:$M$191</definedName>
    <definedName name="_xlchart.v1.2" hidden="1">Reykjavík!$AA$176:$AA$191</definedName>
    <definedName name="_xlchart.v1.3" hidden="1">Reykjavík!$AB$176:$AB$191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9" l="1"/>
  <c r="F42" i="19" s="1"/>
  <c r="E41" i="19"/>
  <c r="E42" i="19" s="1"/>
  <c r="D41" i="19"/>
  <c r="D42" i="19" s="1"/>
  <c r="C41" i="19"/>
  <c r="C42" i="19" s="1"/>
  <c r="F40" i="19"/>
  <c r="E40" i="19"/>
  <c r="D40" i="19"/>
  <c r="C40" i="19"/>
  <c r="C19" i="19"/>
  <c r="C27" i="19"/>
  <c r="C26" i="19"/>
  <c r="C26" i="2"/>
  <c r="C25" i="19"/>
  <c r="C23" i="19"/>
  <c r="J35" i="3"/>
  <c r="I35" i="3"/>
  <c r="H35" i="3"/>
  <c r="G35" i="3"/>
  <c r="F35" i="3"/>
  <c r="E35" i="3"/>
  <c r="M10" i="3"/>
  <c r="M9" i="3"/>
  <c r="L41" i="3"/>
  <c r="M48" i="3"/>
  <c r="M45" i="3"/>
  <c r="M44" i="3"/>
  <c r="M43" i="3"/>
  <c r="M36" i="3"/>
  <c r="L30" i="3"/>
  <c r="L29" i="3"/>
  <c r="AW33" i="15"/>
  <c r="AW32" i="15"/>
  <c r="AV33" i="15"/>
  <c r="AV32" i="15"/>
  <c r="D141" i="3" l="1"/>
  <c r="E141" i="3"/>
  <c r="F141" i="3"/>
  <c r="G141" i="3"/>
  <c r="H141" i="3"/>
  <c r="I141" i="3"/>
  <c r="J141" i="3"/>
  <c r="K141" i="3"/>
  <c r="K124" i="3"/>
  <c r="C36" i="19"/>
  <c r="C35" i="19"/>
  <c r="C34" i="19"/>
  <c r="C32" i="19"/>
  <c r="C31" i="19"/>
  <c r="C29" i="19"/>
  <c r="C28" i="19"/>
  <c r="F21" i="19" s="1"/>
  <c r="C24" i="19"/>
  <c r="C22" i="19"/>
  <c r="C20" i="19"/>
  <c r="C18" i="19"/>
  <c r="C17" i="19"/>
  <c r="C15" i="19"/>
  <c r="C14" i="19"/>
  <c r="C13" i="19"/>
  <c r="C12" i="19"/>
  <c r="AA191" i="3"/>
  <c r="AA190" i="3"/>
  <c r="AA189" i="3"/>
  <c r="AA188" i="3"/>
  <c r="AA187" i="3"/>
  <c r="AA186" i="3"/>
  <c r="AA185" i="3"/>
  <c r="AA184" i="3"/>
  <c r="AA183" i="3"/>
  <c r="AA182" i="3"/>
  <c r="AA181" i="3"/>
  <c r="AA180" i="3"/>
  <c r="AA179" i="3"/>
  <c r="AA178" i="3"/>
  <c r="AA177" i="3"/>
  <c r="AA176" i="3"/>
  <c r="P139" i="3"/>
  <c r="AB144" i="3"/>
  <c r="AB145" i="3"/>
  <c r="AB146" i="3"/>
  <c r="AB148" i="3"/>
  <c r="AB149" i="3"/>
  <c r="AB150" i="3"/>
  <c r="AB152" i="3"/>
  <c r="AB154" i="3"/>
  <c r="AB155" i="3"/>
  <c r="AB158" i="3"/>
  <c r="AB159" i="3"/>
  <c r="AB160" i="3"/>
  <c r="AB161" i="3"/>
  <c r="AB162" i="3"/>
  <c r="AB163" i="3"/>
  <c r="AB164" i="3"/>
  <c r="AB165" i="3"/>
  <c r="AB166" i="3"/>
  <c r="AB171" i="3"/>
  <c r="AB143" i="3"/>
  <c r="AB114" i="3"/>
  <c r="AB115" i="3"/>
  <c r="AB176" i="3" s="1"/>
  <c r="AB116" i="3"/>
  <c r="AB177" i="3" s="1"/>
  <c r="AB117" i="3"/>
  <c r="AB178" i="3" s="1"/>
  <c r="AB118" i="3"/>
  <c r="AB179" i="3" s="1"/>
  <c r="AB120" i="3"/>
  <c r="AB182" i="3" s="1"/>
  <c r="AB122" i="3"/>
  <c r="AB123" i="3"/>
  <c r="AB127" i="3"/>
  <c r="AB184" i="3" s="1"/>
  <c r="AB128" i="3"/>
  <c r="AB185" i="3" s="1"/>
  <c r="AB129" i="3"/>
  <c r="AB130" i="3"/>
  <c r="AB186" i="3" s="1"/>
  <c r="AB131" i="3"/>
  <c r="AB132" i="3"/>
  <c r="AB180" i="3" s="1"/>
  <c r="AB133" i="3"/>
  <c r="AB187" i="3" s="1"/>
  <c r="AB134" i="3"/>
  <c r="AB188" i="3" s="1"/>
  <c r="AB135" i="3"/>
  <c r="AB140" i="3"/>
  <c r="AB113" i="3"/>
  <c r="AB112" i="3"/>
  <c r="AB175" i="3"/>
  <c r="F42" i="9"/>
  <c r="F43" i="9"/>
  <c r="C21" i="19" l="1"/>
  <c r="C30" i="19"/>
  <c r="C33" i="19"/>
  <c r="C16" i="19"/>
  <c r="BH69" i="15"/>
  <c r="BI69" i="15"/>
  <c r="BJ69" i="15"/>
  <c r="BK69" i="15"/>
  <c r="BN69" i="15" s="1"/>
  <c r="BN75" i="15" s="1"/>
  <c r="BG69" i="15"/>
  <c r="BM75" i="15"/>
  <c r="BK75" i="15"/>
  <c r="BN70" i="15"/>
  <c r="BN71" i="15"/>
  <c r="BN72" i="15"/>
  <c r="BN73" i="15"/>
  <c r="BN74" i="15"/>
  <c r="C23" i="2"/>
  <c r="C22" i="2"/>
  <c r="K42" i="3"/>
  <c r="M93" i="3"/>
  <c r="M109" i="3"/>
  <c r="M108" i="3"/>
  <c r="M107" i="3"/>
  <c r="K50" i="3"/>
  <c r="J50" i="3"/>
  <c r="I50" i="3"/>
  <c r="K48" i="3"/>
  <c r="M46" i="3"/>
  <c r="BH70" i="15"/>
  <c r="BI70" i="15"/>
  <c r="BJ70" i="15"/>
  <c r="BK70" i="15"/>
  <c r="BH71" i="15"/>
  <c r="BI71" i="15"/>
  <c r="BJ71" i="15"/>
  <c r="BK71" i="15"/>
  <c r="BH72" i="15"/>
  <c r="BI72" i="15"/>
  <c r="BJ72" i="15"/>
  <c r="BK72" i="15"/>
  <c r="BH73" i="15"/>
  <c r="BI73" i="15"/>
  <c r="BJ73" i="15"/>
  <c r="BK73" i="15"/>
  <c r="BH74" i="15"/>
  <c r="BI74" i="15"/>
  <c r="BJ74" i="15"/>
  <c r="BK74" i="15"/>
  <c r="BG74" i="15"/>
  <c r="BG73" i="15"/>
  <c r="BG72" i="15"/>
  <c r="BG71" i="15"/>
  <c r="BG70" i="15"/>
  <c r="BG36" i="15"/>
  <c r="BG37" i="15"/>
  <c r="BG38" i="15"/>
  <c r="BG39" i="15"/>
  <c r="W9" i="9"/>
  <c r="G28" i="9"/>
  <c r="G29" i="9"/>
  <c r="G30" i="9"/>
  <c r="G31" i="9"/>
  <c r="G32" i="9"/>
  <c r="G33" i="9"/>
  <c r="G34" i="9"/>
  <c r="G35" i="9"/>
  <c r="C19" i="2"/>
  <c r="K35" i="3"/>
  <c r="K36" i="3"/>
  <c r="L36" i="3"/>
  <c r="BO49" i="15" l="1"/>
  <c r="AO56" i="15"/>
  <c r="BU49" i="15"/>
  <c r="BU52" i="15"/>
  <c r="DN51" i="15"/>
  <c r="CQ61" i="15"/>
  <c r="CQ60" i="15"/>
  <c r="CQ59" i="15"/>
  <c r="CQ58" i="15"/>
  <c r="CQ57" i="15"/>
  <c r="CQ56" i="15"/>
  <c r="CQ55" i="15"/>
  <c r="CQ54" i="15"/>
  <c r="CQ53" i="15"/>
  <c r="CQ52" i="15"/>
  <c r="CQ51" i="15"/>
  <c r="CQ50" i="15"/>
  <c r="CQ49" i="15"/>
  <c r="CQ48" i="15"/>
  <c r="CQ47" i="15"/>
  <c r="CQ46" i="15"/>
  <c r="CQ45" i="15"/>
  <c r="CQ44" i="15"/>
  <c r="CA70" i="15"/>
  <c r="CA69" i="15"/>
  <c r="CA68" i="15"/>
  <c r="CA67" i="15"/>
  <c r="CA66" i="15"/>
  <c r="CA65" i="15"/>
  <c r="CA64" i="15"/>
  <c r="CA63" i="15"/>
  <c r="CA62" i="15"/>
  <c r="CA61" i="15"/>
  <c r="CA60" i="15"/>
  <c r="CA59" i="15"/>
  <c r="CA58" i="15"/>
  <c r="CA57" i="15"/>
  <c r="CA56" i="15"/>
  <c r="CA55" i="15"/>
  <c r="CA54" i="15"/>
  <c r="CA53" i="15"/>
  <c r="CA52" i="15"/>
  <c r="CA51" i="15"/>
  <c r="CA50" i="15"/>
  <c r="CA49" i="15"/>
  <c r="CA48" i="15"/>
  <c r="CA47" i="15"/>
  <c r="CA46" i="15"/>
  <c r="CA45" i="15"/>
  <c r="CA44" i="15"/>
  <c r="BZ74" i="15"/>
  <c r="BZ73" i="15"/>
  <c r="BZ64" i="15"/>
  <c r="BZ65" i="15"/>
  <c r="BZ66" i="15"/>
  <c r="BZ67" i="15"/>
  <c r="BZ68" i="15"/>
  <c r="BZ69" i="15"/>
  <c r="BZ70" i="15"/>
  <c r="BZ45" i="15"/>
  <c r="BZ46" i="15"/>
  <c r="BZ47" i="15"/>
  <c r="BZ48" i="15"/>
  <c r="BZ49" i="15"/>
  <c r="BZ50" i="15"/>
  <c r="BZ51" i="15"/>
  <c r="BZ52" i="15"/>
  <c r="BZ53" i="15"/>
  <c r="BZ54" i="15"/>
  <c r="BZ55" i="15"/>
  <c r="BZ56" i="15"/>
  <c r="BZ57" i="15"/>
  <c r="BZ58" i="15"/>
  <c r="BZ59" i="15"/>
  <c r="BZ60" i="15"/>
  <c r="BZ61" i="15"/>
  <c r="BZ62" i="15"/>
  <c r="BZ63" i="15"/>
  <c r="BZ44" i="15"/>
  <c r="AV66" i="15"/>
  <c r="Z64" i="15"/>
  <c r="Z61" i="15"/>
  <c r="X63" i="15"/>
  <c r="Z63" i="15" s="1"/>
  <c r="X62" i="15"/>
  <c r="X61" i="15"/>
  <c r="X60" i="15"/>
  <c r="C27" i="2"/>
  <c r="C25" i="2"/>
  <c r="K60" i="3"/>
  <c r="K61" i="3"/>
  <c r="K62" i="3"/>
  <c r="J62" i="3"/>
  <c r="AR54" i="21"/>
  <c r="D103" i="3"/>
  <c r="E103" i="3"/>
  <c r="F103" i="3"/>
  <c r="G103" i="3"/>
  <c r="H103" i="3"/>
  <c r="I103" i="3"/>
  <c r="J103" i="3"/>
  <c r="K103" i="3"/>
  <c r="C103" i="3"/>
  <c r="AO54" i="21"/>
  <c r="AN54" i="21"/>
  <c r="AM54" i="21"/>
  <c r="AL54" i="21"/>
  <c r="AK54" i="21"/>
  <c r="AJ54" i="21"/>
  <c r="AQ54" i="21"/>
  <c r="AP54" i="21"/>
  <c r="AM43" i="21"/>
  <c r="AL43" i="21"/>
  <c r="AK43" i="21"/>
  <c r="AJ43" i="21"/>
  <c r="AI43" i="21"/>
  <c r="KB9" i="15"/>
  <c r="IL9" i="15"/>
  <c r="GV9" i="15"/>
  <c r="FE9" i="15"/>
  <c r="AV56" i="15"/>
  <c r="AP75" i="15"/>
  <c r="AR66" i="15"/>
  <c r="AR75" i="15"/>
  <c r="E29" i="3"/>
  <c r="F29" i="3"/>
  <c r="G29" i="3"/>
  <c r="H29" i="3"/>
  <c r="I29" i="3"/>
  <c r="J29" i="3"/>
  <c r="K29" i="3"/>
  <c r="C29" i="3"/>
  <c r="D29" i="3"/>
  <c r="K55" i="3"/>
  <c r="K54" i="3"/>
  <c r="K53" i="3"/>
  <c r="K36" i="17"/>
  <c r="K49" i="3"/>
  <c r="AN15" i="16"/>
  <c r="AO15" i="16"/>
  <c r="AP15" i="16"/>
  <c r="AQ15" i="16"/>
  <c r="I44" i="3"/>
  <c r="J44" i="3"/>
  <c r="K44" i="3"/>
  <c r="H44" i="3"/>
  <c r="D42" i="3"/>
  <c r="E42" i="3"/>
  <c r="F42" i="3"/>
  <c r="G42" i="3"/>
  <c r="H42" i="3"/>
  <c r="I42" i="3"/>
  <c r="J42" i="3"/>
  <c r="C42" i="3"/>
  <c r="D41" i="3"/>
  <c r="E41" i="3"/>
  <c r="F41" i="3"/>
  <c r="G41" i="3"/>
  <c r="H41" i="3"/>
  <c r="I41" i="3"/>
  <c r="J41" i="3"/>
  <c r="K41" i="3"/>
  <c r="C41" i="3"/>
  <c r="CR60" i="15"/>
  <c r="CR56" i="15"/>
  <c r="CO58" i="15"/>
  <c r="DN42" i="15"/>
  <c r="CJ59" i="15"/>
  <c r="CJ60" i="15"/>
  <c r="CJ61" i="15"/>
  <c r="CJ62" i="15"/>
  <c r="CJ63" i="15"/>
  <c r="CJ58" i="15"/>
  <c r="CJ52" i="15"/>
  <c r="CJ53" i="15"/>
  <c r="CJ54" i="15"/>
  <c r="CJ55" i="15"/>
  <c r="CJ56" i="15"/>
  <c r="CJ51" i="15"/>
  <c r="CJ45" i="15"/>
  <c r="CJ46" i="15"/>
  <c r="CJ47" i="15"/>
  <c r="CJ48" i="15"/>
  <c r="CJ44" i="15"/>
  <c r="CT61" i="15"/>
  <c r="CV61" i="15" s="1"/>
  <c r="CX61" i="15" s="1"/>
  <c r="CT60" i="15"/>
  <c r="CV60" i="15" s="1"/>
  <c r="CX60" i="15" s="1"/>
  <c r="CO60" i="15"/>
  <c r="CT59" i="15"/>
  <c r="CV59" i="15" s="1"/>
  <c r="CX59" i="15" s="1"/>
  <c r="CT58" i="15"/>
  <c r="CV58" i="15" s="1"/>
  <c r="CX58" i="15" s="1"/>
  <c r="CT57" i="15"/>
  <c r="CT56" i="15"/>
  <c r="CV56" i="15" s="1"/>
  <c r="CX56" i="15" s="1"/>
  <c r="CT55" i="15"/>
  <c r="CT54" i="15"/>
  <c r="CT53" i="15"/>
  <c r="CV53" i="15" s="1"/>
  <c r="CX53" i="15" s="1"/>
  <c r="CT52" i="15"/>
  <c r="CT51" i="15"/>
  <c r="CT50" i="15"/>
  <c r="CT49" i="15"/>
  <c r="CV49" i="15" s="1"/>
  <c r="CX49" i="15" s="1"/>
  <c r="CT48" i="15"/>
  <c r="CT47" i="15"/>
  <c r="CV47" i="15" s="1"/>
  <c r="CX47" i="15" s="1"/>
  <c r="CT46" i="15"/>
  <c r="CT45" i="15"/>
  <c r="CT44" i="15"/>
  <c r="CV44" i="15" s="1"/>
  <c r="CX44" i="15" s="1"/>
  <c r="CL45" i="15"/>
  <c r="CL47" i="15"/>
  <c r="CL48" i="15"/>
  <c r="CL55" i="15"/>
  <c r="CL56" i="15"/>
  <c r="CL57" i="15"/>
  <c r="CL62" i="15"/>
  <c r="CL44" i="15"/>
  <c r="CC70" i="15"/>
  <c r="CL70" i="15" s="1"/>
  <c r="CC59" i="15"/>
  <c r="CC58" i="15"/>
  <c r="CL58" i="15" s="1"/>
  <c r="CC63" i="15"/>
  <c r="CC62" i="15"/>
  <c r="CC61" i="15"/>
  <c r="CC60" i="15"/>
  <c r="CC56" i="15"/>
  <c r="CC55" i="15"/>
  <c r="CC69" i="15" s="1"/>
  <c r="CC54" i="15"/>
  <c r="CC53" i="15"/>
  <c r="CC67" i="15" s="1"/>
  <c r="CC52" i="15"/>
  <c r="CL52" i="15" s="1"/>
  <c r="CC51" i="15"/>
  <c r="CL51" i="15" s="1"/>
  <c r="AV67" i="15" l="1"/>
  <c r="K56" i="3"/>
  <c r="CL67" i="15"/>
  <c r="CL71" i="15" s="1"/>
  <c r="CL69" i="15"/>
  <c r="CC66" i="15"/>
  <c r="CL53" i="15"/>
  <c r="CL63" i="15"/>
  <c r="CL60" i="15"/>
  <c r="CC65" i="15"/>
  <c r="CL54" i="15"/>
  <c r="CC68" i="15"/>
  <c r="CL59" i="15"/>
  <c r="CV51" i="15"/>
  <c r="CX51" i="15" s="1"/>
  <c r="CV50" i="15"/>
  <c r="CX50" i="15" s="1"/>
  <c r="CV45" i="15"/>
  <c r="CX45" i="15" s="1"/>
  <c r="CV52" i="15"/>
  <c r="CX52" i="15" s="1"/>
  <c r="CV46" i="15"/>
  <c r="CX46" i="15" s="1"/>
  <c r="CV48" i="15"/>
  <c r="CX48" i="15" s="1"/>
  <c r="CV54" i="15"/>
  <c r="CX54" i="15" s="1"/>
  <c r="CV55" i="15"/>
  <c r="CX55" i="15" s="1"/>
  <c r="CV57" i="15"/>
  <c r="CX57" i="15" s="1"/>
  <c r="CL68" i="15" l="1"/>
  <c r="CC71" i="15"/>
  <c r="CI68" i="15" s="1"/>
  <c r="CL65" i="15"/>
  <c r="CI65" i="15"/>
  <c r="CI66" i="15"/>
  <c r="CL66" i="15"/>
  <c r="CM65" i="15" l="1"/>
  <c r="CI46" i="15"/>
  <c r="CI56" i="15"/>
  <c r="CI47" i="15"/>
  <c r="CI58" i="15"/>
  <c r="CI48" i="15"/>
  <c r="CI45" i="15"/>
  <c r="CI55" i="15"/>
  <c r="CI61" i="15"/>
  <c r="CI62" i="15"/>
  <c r="CI71" i="15"/>
  <c r="CI44" i="15"/>
  <c r="CI63" i="15"/>
  <c r="CI67" i="15"/>
  <c r="CI53" i="15"/>
  <c r="CI54" i="15"/>
  <c r="CI59" i="15"/>
  <c r="CI51" i="15"/>
  <c r="CI52" i="15"/>
  <c r="CI69" i="15"/>
  <c r="CI70" i="15"/>
  <c r="CI60" i="15"/>
  <c r="CM68" i="15" l="1"/>
  <c r="CM48" i="15"/>
  <c r="CR58" i="15" s="1"/>
  <c r="CM55" i="15"/>
  <c r="CR59" i="15" s="1"/>
  <c r="CM58" i="15"/>
  <c r="CR46" i="15" s="1"/>
  <c r="CM53" i="15"/>
  <c r="CR57" i="15" s="1"/>
  <c r="CM63" i="15"/>
  <c r="CR51" i="15" s="1"/>
  <c r="CM61" i="15"/>
  <c r="CR49" i="15" s="1"/>
  <c r="CM44" i="15"/>
  <c r="CR44" i="15" s="1"/>
  <c r="CM47" i="15"/>
  <c r="CR54" i="15" s="1"/>
  <c r="CM51" i="15"/>
  <c r="CR45" i="15" s="1"/>
  <c r="CM57" i="15"/>
  <c r="CM59" i="15"/>
  <c r="CR47" i="15" s="1"/>
  <c r="CM54" i="15"/>
  <c r="CR55" i="15" s="1"/>
  <c r="CM45" i="15"/>
  <c r="CR52" i="15" s="1"/>
  <c r="CM52" i="15"/>
  <c r="CR53" i="15" s="1"/>
  <c r="CM67" i="15"/>
  <c r="CM62" i="15"/>
  <c r="CR50" i="15" s="1"/>
  <c r="CM56" i="15"/>
  <c r="CR61" i="15" s="1"/>
  <c r="CM70" i="15"/>
  <c r="CM60" i="15"/>
  <c r="CR48" i="15" s="1"/>
  <c r="CM69" i="15"/>
  <c r="CM66" i="15"/>
  <c r="CQ62" i="15" l="1"/>
  <c r="CM71" i="15"/>
  <c r="AP17" i="16" l="1"/>
  <c r="AQ17" i="16"/>
  <c r="AG16" i="16"/>
  <c r="AH16" i="16"/>
  <c r="AI16" i="16"/>
  <c r="AJ16" i="16"/>
  <c r="AK16" i="16"/>
  <c r="AL16" i="16"/>
  <c r="H39" i="9" l="1"/>
  <c r="Y86" i="20" l="1"/>
  <c r="N86" i="20"/>
  <c r="M86" i="20"/>
  <c r="K86" i="20"/>
  <c r="O86" i="20" s="1"/>
  <c r="J86" i="20"/>
  <c r="I86" i="20"/>
  <c r="H86" i="20"/>
  <c r="G86" i="20"/>
  <c r="F86" i="20"/>
  <c r="E86" i="20"/>
  <c r="D86" i="20"/>
  <c r="C86" i="20"/>
  <c r="B86" i="20"/>
  <c r="Y85" i="20"/>
  <c r="N85" i="20"/>
  <c r="M85" i="20"/>
  <c r="K85" i="20"/>
  <c r="O85" i="20" s="1"/>
  <c r="J85" i="20"/>
  <c r="I85" i="20"/>
  <c r="H85" i="20"/>
  <c r="G85" i="20"/>
  <c r="F85" i="20"/>
  <c r="E85" i="20"/>
  <c r="D85" i="20"/>
  <c r="C85" i="20"/>
  <c r="B85" i="20"/>
  <c r="Y84" i="20"/>
  <c r="N84" i="20"/>
  <c r="M84" i="20"/>
  <c r="K84" i="20"/>
  <c r="R84" i="20" s="1"/>
  <c r="J84" i="20"/>
  <c r="I84" i="20"/>
  <c r="H84" i="20"/>
  <c r="G84" i="20"/>
  <c r="F84" i="20"/>
  <c r="E84" i="20"/>
  <c r="D84" i="20"/>
  <c r="C84" i="20"/>
  <c r="B84" i="20"/>
  <c r="Y83" i="20"/>
  <c r="R83" i="20"/>
  <c r="N83" i="20"/>
  <c r="M83" i="20"/>
  <c r="K83" i="20"/>
  <c r="O83" i="20" s="1"/>
  <c r="J83" i="20"/>
  <c r="I83" i="20"/>
  <c r="H83" i="20"/>
  <c r="G83" i="20"/>
  <c r="F83" i="20"/>
  <c r="E83" i="20"/>
  <c r="D83" i="20"/>
  <c r="C83" i="20"/>
  <c r="B83" i="20"/>
  <c r="Y82" i="20"/>
  <c r="R82" i="20"/>
  <c r="O82" i="20"/>
  <c r="N82" i="20"/>
  <c r="M82" i="20"/>
  <c r="K82" i="20"/>
  <c r="J82" i="20"/>
  <c r="I82" i="20"/>
  <c r="H82" i="20"/>
  <c r="G82" i="20"/>
  <c r="F82" i="20"/>
  <c r="E82" i="20"/>
  <c r="D82" i="20"/>
  <c r="C82" i="20"/>
  <c r="B82" i="20"/>
  <c r="Y81" i="20"/>
  <c r="O81" i="20"/>
  <c r="N81" i="20"/>
  <c r="M81" i="20"/>
  <c r="K81" i="20"/>
  <c r="R81" i="20" s="1"/>
  <c r="J81" i="20"/>
  <c r="I81" i="20"/>
  <c r="H81" i="20"/>
  <c r="G81" i="20"/>
  <c r="F81" i="20"/>
  <c r="E81" i="20"/>
  <c r="D81" i="20"/>
  <c r="C81" i="20"/>
  <c r="B81" i="20"/>
  <c r="Y80" i="20"/>
  <c r="N80" i="20"/>
  <c r="M80" i="20"/>
  <c r="K80" i="20"/>
  <c r="R80" i="20" s="1"/>
  <c r="J80" i="20"/>
  <c r="I80" i="20"/>
  <c r="H80" i="20"/>
  <c r="G80" i="20"/>
  <c r="F80" i="20"/>
  <c r="E80" i="20"/>
  <c r="D80" i="20"/>
  <c r="C80" i="20"/>
  <c r="B80" i="20"/>
  <c r="Y79" i="20"/>
  <c r="N79" i="20"/>
  <c r="M79" i="20"/>
  <c r="K79" i="20"/>
  <c r="R79" i="20" s="1"/>
  <c r="J79" i="20"/>
  <c r="I79" i="20"/>
  <c r="H79" i="20"/>
  <c r="G79" i="20"/>
  <c r="F79" i="20"/>
  <c r="E79" i="20"/>
  <c r="D79" i="20"/>
  <c r="C79" i="20"/>
  <c r="B79" i="20"/>
  <c r="Y78" i="20"/>
  <c r="N78" i="20"/>
  <c r="M78" i="20"/>
  <c r="K78" i="20"/>
  <c r="R78" i="20" s="1"/>
  <c r="J78" i="20"/>
  <c r="I78" i="20"/>
  <c r="H78" i="20"/>
  <c r="G78" i="20"/>
  <c r="F78" i="20"/>
  <c r="E78" i="20"/>
  <c r="D78" i="20"/>
  <c r="C78" i="20"/>
  <c r="B78" i="20"/>
  <c r="Y77" i="20"/>
  <c r="N77" i="20"/>
  <c r="M77" i="20"/>
  <c r="K77" i="20"/>
  <c r="O77" i="20" s="1"/>
  <c r="J77" i="20"/>
  <c r="I77" i="20"/>
  <c r="H77" i="20"/>
  <c r="G77" i="20"/>
  <c r="F77" i="20"/>
  <c r="E77" i="20"/>
  <c r="D77" i="20"/>
  <c r="C77" i="20"/>
  <c r="B77" i="20"/>
  <c r="Y76" i="20"/>
  <c r="N76" i="20"/>
  <c r="M76" i="20"/>
  <c r="K76" i="20"/>
  <c r="R76" i="20" s="1"/>
  <c r="J76" i="20"/>
  <c r="I76" i="20"/>
  <c r="H76" i="20"/>
  <c r="G76" i="20"/>
  <c r="F76" i="20"/>
  <c r="E76" i="20"/>
  <c r="D76" i="20"/>
  <c r="C76" i="20"/>
  <c r="B76" i="20"/>
  <c r="Y75" i="20"/>
  <c r="R75" i="20"/>
  <c r="N75" i="20"/>
  <c r="M75" i="20"/>
  <c r="K75" i="20"/>
  <c r="O75" i="20" s="1"/>
  <c r="J75" i="20"/>
  <c r="I75" i="20"/>
  <c r="H75" i="20"/>
  <c r="G75" i="20"/>
  <c r="F75" i="20"/>
  <c r="E75" i="20"/>
  <c r="D75" i="20"/>
  <c r="C75" i="20"/>
  <c r="B75" i="20"/>
  <c r="Y74" i="20"/>
  <c r="R74" i="20"/>
  <c r="O74" i="20"/>
  <c r="N74" i="20"/>
  <c r="M74" i="20"/>
  <c r="K74" i="20"/>
  <c r="J74" i="20"/>
  <c r="I74" i="20"/>
  <c r="H74" i="20"/>
  <c r="G74" i="20"/>
  <c r="F74" i="20"/>
  <c r="E74" i="20"/>
  <c r="D74" i="20"/>
  <c r="C74" i="20"/>
  <c r="B74" i="20"/>
  <c r="Y73" i="20"/>
  <c r="R73" i="20"/>
  <c r="O73" i="20"/>
  <c r="N73" i="20"/>
  <c r="M73" i="20"/>
  <c r="K73" i="20"/>
  <c r="Y72" i="20"/>
  <c r="R72" i="20"/>
  <c r="O72" i="20"/>
  <c r="N72" i="20"/>
  <c r="M72" i="20"/>
  <c r="K72" i="20"/>
  <c r="Y71" i="20"/>
  <c r="R71" i="20"/>
  <c r="O71" i="20"/>
  <c r="N71" i="20"/>
  <c r="M71" i="20"/>
  <c r="K71" i="20"/>
  <c r="Y70" i="20"/>
  <c r="R70" i="20"/>
  <c r="O70" i="20"/>
  <c r="N70" i="20"/>
  <c r="M70" i="20"/>
  <c r="K70" i="20"/>
  <c r="Y69" i="20"/>
  <c r="R69" i="20"/>
  <c r="O69" i="20"/>
  <c r="N69" i="20"/>
  <c r="M69" i="20"/>
  <c r="K69" i="20"/>
  <c r="Y68" i="20"/>
  <c r="R68" i="20"/>
  <c r="O68" i="20"/>
  <c r="N68" i="20"/>
  <c r="M68" i="20"/>
  <c r="K68" i="20"/>
  <c r="Y67" i="20"/>
  <c r="R67" i="20"/>
  <c r="O67" i="20"/>
  <c r="N67" i="20"/>
  <c r="M67" i="20"/>
  <c r="K67" i="20"/>
  <c r="Y66" i="20"/>
  <c r="R66" i="20"/>
  <c r="O66" i="20"/>
  <c r="N66" i="20"/>
  <c r="M66" i="20"/>
  <c r="K66" i="20"/>
  <c r="Y65" i="20"/>
  <c r="R65" i="20"/>
  <c r="O65" i="20"/>
  <c r="N65" i="20"/>
  <c r="M65" i="20"/>
  <c r="K65" i="20"/>
  <c r="Y64" i="20"/>
  <c r="R64" i="20"/>
  <c r="O64" i="20"/>
  <c r="N64" i="20"/>
  <c r="M64" i="20"/>
  <c r="K64" i="20"/>
  <c r="Y63" i="20"/>
  <c r="R63" i="20"/>
  <c r="O63" i="20"/>
  <c r="N63" i="20"/>
  <c r="M63" i="20"/>
  <c r="K63" i="20"/>
  <c r="Y62" i="20"/>
  <c r="R62" i="20"/>
  <c r="O62" i="20"/>
  <c r="N62" i="20"/>
  <c r="M62" i="20"/>
  <c r="K62" i="20"/>
  <c r="Y61" i="20"/>
  <c r="R61" i="20"/>
  <c r="O61" i="20"/>
  <c r="N61" i="20"/>
  <c r="M61" i="20"/>
  <c r="K61" i="20"/>
  <c r="Y60" i="20"/>
  <c r="R60" i="20"/>
  <c r="O60" i="20"/>
  <c r="N60" i="20"/>
  <c r="M60" i="20"/>
  <c r="K60" i="20"/>
  <c r="Y59" i="20"/>
  <c r="R59" i="20"/>
  <c r="O59" i="20"/>
  <c r="N59" i="20"/>
  <c r="M59" i="20"/>
  <c r="K59" i="20"/>
  <c r="R58" i="20"/>
  <c r="O58" i="20"/>
  <c r="N58" i="20"/>
  <c r="M58" i="20"/>
  <c r="K58" i="20"/>
  <c r="R57" i="20"/>
  <c r="O57" i="20"/>
  <c r="N57" i="20"/>
  <c r="M57" i="20"/>
  <c r="K57" i="20"/>
  <c r="R56" i="20"/>
  <c r="O56" i="20"/>
  <c r="N56" i="20"/>
  <c r="M56" i="20"/>
  <c r="K56" i="20"/>
  <c r="R55" i="20"/>
  <c r="O55" i="20"/>
  <c r="N55" i="20"/>
  <c r="M55" i="20"/>
  <c r="K55" i="20"/>
  <c r="R54" i="20"/>
  <c r="O54" i="20"/>
  <c r="N54" i="20"/>
  <c r="M54" i="20"/>
  <c r="K54" i="20"/>
  <c r="K52" i="20"/>
  <c r="J50" i="20"/>
  <c r="I50" i="20"/>
  <c r="I51" i="20" s="1"/>
  <c r="H50" i="20"/>
  <c r="G50" i="20"/>
  <c r="F50" i="20"/>
  <c r="E50" i="20"/>
  <c r="D50" i="20"/>
  <c r="C50" i="20"/>
  <c r="B50" i="20"/>
  <c r="K50" i="20" s="1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O5" i="20"/>
  <c r="E51" i="20" l="1"/>
  <c r="D51" i="20"/>
  <c r="G51" i="20"/>
  <c r="I57" i="20"/>
  <c r="I58" i="20"/>
  <c r="I54" i="20"/>
  <c r="I73" i="20"/>
  <c r="I72" i="20"/>
  <c r="I71" i="20"/>
  <c r="I70" i="20"/>
  <c r="I69" i="20"/>
  <c r="I68" i="20"/>
  <c r="I67" i="20"/>
  <c r="I66" i="20"/>
  <c r="I65" i="20"/>
  <c r="I64" i="20"/>
  <c r="I63" i="20"/>
  <c r="I62" i="20"/>
  <c r="I61" i="20"/>
  <c r="I60" i="20"/>
  <c r="I59" i="20"/>
  <c r="I55" i="20"/>
  <c r="I56" i="20"/>
  <c r="H51" i="20"/>
  <c r="C51" i="20"/>
  <c r="J51" i="20"/>
  <c r="F51" i="20"/>
  <c r="B51" i="20"/>
  <c r="O76" i="20"/>
  <c r="R77" i="20"/>
  <c r="O84" i="20"/>
  <c r="R85" i="20"/>
  <c r="O80" i="20"/>
  <c r="O79" i="20"/>
  <c r="O78" i="20"/>
  <c r="H56" i="20" l="1"/>
  <c r="H57" i="20"/>
  <c r="H58" i="20"/>
  <c r="H73" i="20"/>
  <c r="H72" i="20"/>
  <c r="H71" i="20"/>
  <c r="H70" i="20"/>
  <c r="H69" i="20"/>
  <c r="H68" i="20"/>
  <c r="H67" i="20"/>
  <c r="H66" i="20"/>
  <c r="H65" i="20"/>
  <c r="H64" i="20"/>
  <c r="H63" i="20"/>
  <c r="H62" i="20"/>
  <c r="H61" i="20"/>
  <c r="H60" i="20"/>
  <c r="H59" i="20"/>
  <c r="H54" i="20"/>
  <c r="H55" i="20"/>
  <c r="B58" i="20"/>
  <c r="B73" i="20"/>
  <c r="L73" i="20" s="1"/>
  <c r="B72" i="20"/>
  <c r="B71" i="20"/>
  <c r="B70" i="20"/>
  <c r="B69" i="20"/>
  <c r="B68" i="20"/>
  <c r="B67" i="20"/>
  <c r="B66" i="20"/>
  <c r="B65" i="20"/>
  <c r="L65" i="20" s="1"/>
  <c r="B64" i="20"/>
  <c r="B63" i="20"/>
  <c r="B62" i="20"/>
  <c r="B61" i="20"/>
  <c r="B60" i="20"/>
  <c r="B59" i="20"/>
  <c r="B55" i="20"/>
  <c r="B56" i="20"/>
  <c r="K51" i="20"/>
  <c r="B57" i="20"/>
  <c r="B54" i="20"/>
  <c r="F54" i="20"/>
  <c r="F66" i="20"/>
  <c r="F63" i="20"/>
  <c r="F55" i="20"/>
  <c r="F70" i="20"/>
  <c r="F61" i="20"/>
  <c r="F56" i="20"/>
  <c r="F72" i="20"/>
  <c r="F57" i="20"/>
  <c r="F58" i="20"/>
  <c r="F68" i="20"/>
  <c r="F65" i="20"/>
  <c r="F60" i="20"/>
  <c r="F69" i="20"/>
  <c r="F71" i="20"/>
  <c r="F64" i="20"/>
  <c r="F62" i="20"/>
  <c r="F73" i="20"/>
  <c r="F67" i="20"/>
  <c r="F59" i="20"/>
  <c r="G55" i="20"/>
  <c r="G68" i="20"/>
  <c r="G64" i="20"/>
  <c r="G56" i="20"/>
  <c r="G73" i="20"/>
  <c r="G71" i="20"/>
  <c r="G65" i="20"/>
  <c r="G62" i="20"/>
  <c r="G57" i="20"/>
  <c r="G70" i="20"/>
  <c r="G67" i="20"/>
  <c r="G58" i="20"/>
  <c r="G69" i="20"/>
  <c r="G72" i="20"/>
  <c r="G66" i="20"/>
  <c r="G60" i="20"/>
  <c r="G54" i="20"/>
  <c r="G63" i="20"/>
  <c r="G61" i="20"/>
  <c r="G59" i="20"/>
  <c r="D54" i="20"/>
  <c r="D57" i="20"/>
  <c r="D55" i="20"/>
  <c r="D58" i="20"/>
  <c r="D56" i="20"/>
  <c r="D73" i="20"/>
  <c r="D72" i="20"/>
  <c r="D71" i="20"/>
  <c r="D70" i="20"/>
  <c r="D69" i="20"/>
  <c r="D68" i="20"/>
  <c r="D67" i="20"/>
  <c r="D66" i="20"/>
  <c r="D65" i="20"/>
  <c r="D64" i="20"/>
  <c r="D63" i="20"/>
  <c r="D62" i="20"/>
  <c r="D61" i="20"/>
  <c r="D60" i="20"/>
  <c r="D59" i="20"/>
  <c r="J58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J61" i="20"/>
  <c r="J60" i="20"/>
  <c r="J59" i="20"/>
  <c r="J54" i="20"/>
  <c r="J56" i="20"/>
  <c r="J55" i="20"/>
  <c r="J57" i="20"/>
  <c r="C73" i="20"/>
  <c r="C72" i="20"/>
  <c r="C71" i="20"/>
  <c r="C70" i="20"/>
  <c r="C69" i="20"/>
  <c r="C68" i="20"/>
  <c r="C67" i="20"/>
  <c r="C66" i="20"/>
  <c r="C65" i="20"/>
  <c r="C64" i="20"/>
  <c r="C63" i="20"/>
  <c r="C62" i="20"/>
  <c r="C61" i="20"/>
  <c r="C60" i="20"/>
  <c r="C59" i="20"/>
  <c r="C55" i="20"/>
  <c r="C54" i="20"/>
  <c r="C57" i="20"/>
  <c r="C58" i="20"/>
  <c r="C56" i="20"/>
  <c r="E54" i="20"/>
  <c r="E55" i="20"/>
  <c r="E56" i="20"/>
  <c r="E58" i="20"/>
  <c r="E73" i="20"/>
  <c r="E72" i="20"/>
  <c r="E71" i="20"/>
  <c r="E70" i="20"/>
  <c r="E69" i="20"/>
  <c r="E68" i="20"/>
  <c r="E67" i="20"/>
  <c r="E66" i="20"/>
  <c r="E65" i="20"/>
  <c r="E64" i="20"/>
  <c r="E63" i="20"/>
  <c r="E62" i="20"/>
  <c r="E61" i="20"/>
  <c r="E60" i="20"/>
  <c r="E59" i="20"/>
  <c r="E57" i="20"/>
  <c r="L57" i="20" l="1"/>
  <c r="L63" i="20"/>
  <c r="L71" i="20"/>
  <c r="L64" i="20"/>
  <c r="L72" i="20"/>
  <c r="L55" i="20"/>
  <c r="L66" i="20"/>
  <c r="L58" i="20"/>
  <c r="L59" i="20"/>
  <c r="L67" i="20"/>
  <c r="L60" i="20"/>
  <c r="L68" i="20"/>
  <c r="L56" i="20"/>
  <c r="L61" i="20"/>
  <c r="L69" i="20"/>
  <c r="L54" i="20"/>
  <c r="L62" i="20"/>
  <c r="L70" i="20"/>
  <c r="AN16" i="16" l="1"/>
  <c r="AO16" i="16"/>
  <c r="AP16" i="16"/>
  <c r="AQ16" i="16"/>
  <c r="AM16" i="16"/>
  <c r="K6" i="3"/>
  <c r="K8" i="3"/>
  <c r="K9" i="3"/>
  <c r="M143" i="3" l="1"/>
  <c r="K38" i="3"/>
  <c r="K128" i="3"/>
  <c r="K185" i="3" s="1"/>
  <c r="K125" i="3"/>
  <c r="K157" i="3" s="1"/>
  <c r="K120" i="3"/>
  <c r="K182" i="3" s="1"/>
  <c r="J93" i="3"/>
  <c r="K93" i="3"/>
  <c r="I93" i="3"/>
  <c r="K91" i="3"/>
  <c r="K89" i="3"/>
  <c r="K81" i="3"/>
  <c r="K79" i="3"/>
  <c r="J77" i="3"/>
  <c r="J76" i="3"/>
  <c r="I102" i="3"/>
  <c r="K69" i="3"/>
  <c r="K68" i="3"/>
  <c r="K67" i="3"/>
  <c r="K66" i="3"/>
  <c r="K65" i="3"/>
  <c r="K64" i="3"/>
  <c r="K70" i="3" s="1"/>
  <c r="K63" i="3"/>
  <c r="K127" i="3" s="1"/>
  <c r="J63" i="3"/>
  <c r="AA87" i="13"/>
  <c r="AA91" i="13" s="1"/>
  <c r="Y93" i="13"/>
  <c r="AA93" i="13"/>
  <c r="AA85" i="13"/>
  <c r="K45" i="3"/>
  <c r="K37" i="3"/>
  <c r="AY96" i="11"/>
  <c r="BE96" i="11" s="1"/>
  <c r="AY95" i="11"/>
  <c r="BA95" i="11" s="1"/>
  <c r="AY97" i="11"/>
  <c r="BE97" i="11" s="1"/>
  <c r="AX98" i="11"/>
  <c r="AZ97" i="11"/>
  <c r="AZ96" i="11"/>
  <c r="BA96" i="11" s="1"/>
  <c r="BG96" i="11" s="1"/>
  <c r="AZ95" i="11"/>
  <c r="BB94" i="11"/>
  <c r="BH94" i="11" s="1"/>
  <c r="BE94" i="11"/>
  <c r="BE93" i="11"/>
  <c r="BB93" i="11"/>
  <c r="BH93" i="11" s="1"/>
  <c r="BA93" i="11"/>
  <c r="BG93" i="11" s="1"/>
  <c r="AZ93" i="11"/>
  <c r="BE92" i="11"/>
  <c r="BB92" i="11"/>
  <c r="BH92" i="11" s="1"/>
  <c r="BA92" i="11"/>
  <c r="BC93" i="11" s="1"/>
  <c r="BI93" i="11" s="1"/>
  <c r="AZ92" i="11"/>
  <c r="BB91" i="11"/>
  <c r="BH91" i="11" s="1"/>
  <c r="BE91" i="11"/>
  <c r="BE90" i="11"/>
  <c r="BB90" i="11"/>
  <c r="BH90" i="11" s="1"/>
  <c r="BA90" i="11"/>
  <c r="BG90" i="11" s="1"/>
  <c r="AZ90" i="11"/>
  <c r="BE89" i="11"/>
  <c r="BB89" i="11"/>
  <c r="BH89" i="11" s="1"/>
  <c r="BA89" i="11"/>
  <c r="AZ89" i="11"/>
  <c r="BE88" i="11"/>
  <c r="BD88" i="11"/>
  <c r="BB88" i="11"/>
  <c r="BH88" i="11" s="1"/>
  <c r="BA88" i="11"/>
  <c r="BG88" i="11" s="1"/>
  <c r="AZ88" i="11"/>
  <c r="K119" i="3"/>
  <c r="K34" i="3"/>
  <c r="F104" i="12"/>
  <c r="AG85" i="12"/>
  <c r="AF130" i="12"/>
  <c r="AG130" i="12"/>
  <c r="AH130" i="12"/>
  <c r="AF131" i="12"/>
  <c r="AG131" i="12"/>
  <c r="AH131" i="12"/>
  <c r="AF132" i="12"/>
  <c r="AG132" i="12"/>
  <c r="AH132" i="12"/>
  <c r="AF133" i="12"/>
  <c r="AG133" i="12"/>
  <c r="AH133" i="12"/>
  <c r="AF134" i="12"/>
  <c r="AG134" i="12"/>
  <c r="AH134" i="12"/>
  <c r="AF135" i="12"/>
  <c r="AG135" i="12"/>
  <c r="AH135" i="12"/>
  <c r="AG129" i="12"/>
  <c r="AH129" i="12"/>
  <c r="AF129" i="12"/>
  <c r="F135" i="12"/>
  <c r="F134" i="12"/>
  <c r="F133" i="12"/>
  <c r="F132" i="12"/>
  <c r="F131" i="12"/>
  <c r="F130" i="12"/>
  <c r="F129" i="12"/>
  <c r="P130" i="12"/>
  <c r="P131" i="12"/>
  <c r="P132" i="12"/>
  <c r="P133" i="12"/>
  <c r="P134" i="12"/>
  <c r="P135" i="12"/>
  <c r="P129" i="12"/>
  <c r="AO47" i="15"/>
  <c r="K181" i="3" l="1"/>
  <c r="K151" i="3"/>
  <c r="K129" i="3"/>
  <c r="K158" i="3" s="1"/>
  <c r="K184" i="3"/>
  <c r="K159" i="3"/>
  <c r="K160" i="3"/>
  <c r="K152" i="3"/>
  <c r="BB95" i="11"/>
  <c r="BH95" i="11" s="1"/>
  <c r="BB97" i="11"/>
  <c r="BC91" i="11"/>
  <c r="BI91" i="11" s="1"/>
  <c r="BC88" i="11"/>
  <c r="BI88" i="11" s="1"/>
  <c r="BC89" i="11"/>
  <c r="BI89" i="11" s="1"/>
  <c r="BA94" i="11"/>
  <c r="BC90" i="11"/>
  <c r="BI90" i="11" s="1"/>
  <c r="BC92" i="11"/>
  <c r="BI92" i="11" s="1"/>
  <c r="BA91" i="11"/>
  <c r="BG91" i="11" s="1"/>
  <c r="BC94" i="11"/>
  <c r="BI94" i="11" s="1"/>
  <c r="BG94" i="11"/>
  <c r="BH97" i="11"/>
  <c r="BB98" i="11"/>
  <c r="BH98" i="11" s="1"/>
  <c r="BC95" i="11"/>
  <c r="BI95" i="11" s="1"/>
  <c r="BB96" i="11"/>
  <c r="BH96" i="11" s="1"/>
  <c r="BA97" i="11"/>
  <c r="BG97" i="11" s="1"/>
  <c r="BE98" i="11"/>
  <c r="BG89" i="11"/>
  <c r="BG92" i="11"/>
  <c r="BE95" i="11"/>
  <c r="BC96" i="11"/>
  <c r="BI96" i="11" s="1"/>
  <c r="BG95" i="11"/>
  <c r="BA98" i="11" l="1"/>
  <c r="BG98" i="11" s="1"/>
  <c r="BC97" i="11"/>
  <c r="BI97" i="11" l="1"/>
  <c r="BC98" i="11"/>
  <c r="BI98" i="11" s="1"/>
  <c r="AH66" i="15" l="1"/>
  <c r="AT62" i="15" l="1"/>
  <c r="AT60" i="15"/>
  <c r="AT27" i="15"/>
  <c r="AT25" i="15"/>
  <c r="AP61" i="15"/>
  <c r="AH62" i="15"/>
  <c r="AP62" i="15" s="1"/>
  <c r="AH63" i="15"/>
  <c r="AP63" i="15" s="1"/>
  <c r="AH61" i="15"/>
  <c r="AY63" i="15"/>
  <c r="BA63" i="15" s="1"/>
  <c r="BC63" i="15" s="1"/>
  <c r="AY62" i="15"/>
  <c r="AY61" i="15"/>
  <c r="AY60" i="15"/>
  <c r="BA60" i="15" s="1"/>
  <c r="BC60" i="15" s="1"/>
  <c r="AY59" i="15"/>
  <c r="BA59" i="15" s="1"/>
  <c r="BC59" i="15" s="1"/>
  <c r="AY58" i="15"/>
  <c r="BA58" i="15" s="1"/>
  <c r="BC58" i="15" s="1"/>
  <c r="AY57" i="15"/>
  <c r="BA57" i="15" s="1"/>
  <c r="BC57" i="15" s="1"/>
  <c r="AY56" i="15"/>
  <c r="BA56" i="15" s="1"/>
  <c r="BC56" i="15" s="1"/>
  <c r="AY55" i="15"/>
  <c r="AY54" i="15"/>
  <c r="BA54" i="15" s="1"/>
  <c r="BC54" i="15" s="1"/>
  <c r="AY53" i="15"/>
  <c r="AY52" i="15"/>
  <c r="AY51" i="15"/>
  <c r="BA51" i="15" s="1"/>
  <c r="BC51" i="15" s="1"/>
  <c r="AY50" i="15"/>
  <c r="BA50" i="15" s="1"/>
  <c r="BC50" i="15" s="1"/>
  <c r="AY49" i="15"/>
  <c r="BA49" i="15" s="1"/>
  <c r="BC49" i="15" s="1"/>
  <c r="AY48" i="15"/>
  <c r="BA48" i="15" s="1"/>
  <c r="BC48" i="15" s="1"/>
  <c r="AY47" i="15"/>
  <c r="BA47" i="15" s="1"/>
  <c r="BC47" i="15" s="1"/>
  <c r="AY46" i="15"/>
  <c r="BA46" i="15" s="1"/>
  <c r="BC46" i="15" s="1"/>
  <c r="BA52" i="15" l="1"/>
  <c r="BC52" i="15" s="1"/>
  <c r="BA53" i="15"/>
  <c r="BC53" i="15" s="1"/>
  <c r="BA55" i="15"/>
  <c r="BC55" i="15" s="1"/>
  <c r="BA61" i="15"/>
  <c r="BC61" i="15" s="1"/>
  <c r="BA62" i="15"/>
  <c r="BC62" i="15" s="1"/>
  <c r="AI75" i="15" l="1"/>
  <c r="AO73" i="15" s="1"/>
  <c r="AH38" i="15"/>
  <c r="AO62" i="15"/>
  <c r="AO63" i="15"/>
  <c r="AO64" i="15"/>
  <c r="AO65" i="15"/>
  <c r="AO66" i="15"/>
  <c r="AO61" i="15"/>
  <c r="AO55" i="15"/>
  <c r="AO57" i="15"/>
  <c r="AO58" i="15"/>
  <c r="AO59" i="15"/>
  <c r="AO54" i="15"/>
  <c r="AO52" i="15"/>
  <c r="AO51" i="15"/>
  <c r="AO50" i="15"/>
  <c r="AO49" i="15"/>
  <c r="AO48" i="15"/>
  <c r="AH73" i="15"/>
  <c r="AP73" i="15" s="1"/>
  <c r="AH72" i="15"/>
  <c r="AP72" i="15" s="1"/>
  <c r="AH71" i="15"/>
  <c r="AP71" i="15" s="1"/>
  <c r="AH70" i="15"/>
  <c r="AH68" i="15"/>
  <c r="AH69" i="15"/>
  <c r="AP69" i="15" s="1"/>
  <c r="AH54" i="15"/>
  <c r="AP54" i="15" s="1"/>
  <c r="AH47" i="15"/>
  <c r="AH48" i="15"/>
  <c r="AN48" i="15" s="1"/>
  <c r="AH49" i="15"/>
  <c r="AP49" i="15" s="1"/>
  <c r="AH50" i="15"/>
  <c r="AP50" i="15" s="1"/>
  <c r="AH51" i="15"/>
  <c r="AN51" i="15" s="1"/>
  <c r="AH52" i="15"/>
  <c r="AP52" i="15" s="1"/>
  <c r="AH55" i="15"/>
  <c r="AN55" i="15" s="1"/>
  <c r="AH56" i="15"/>
  <c r="AP56" i="15" s="1"/>
  <c r="AH57" i="15"/>
  <c r="AH58" i="15"/>
  <c r="AP58" i="15" s="1"/>
  <c r="AH59" i="15"/>
  <c r="AP59" i="15" s="1"/>
  <c r="AE99" i="15"/>
  <c r="AD99" i="15"/>
  <c r="AE47" i="15"/>
  <c r="AC104" i="15"/>
  <c r="AP53" i="15"/>
  <c r="AP57" i="15"/>
  <c r="AP60" i="15"/>
  <c r="AP64" i="15"/>
  <c r="AP65" i="15"/>
  <c r="AP66" i="15"/>
  <c r="AP67" i="15"/>
  <c r="AN9" i="15"/>
  <c r="Y63" i="15"/>
  <c r="Z25" i="15" s="1"/>
  <c r="AA25" i="15" s="1"/>
  <c r="AB25" i="15" s="1"/>
  <c r="W63" i="15"/>
  <c r="Y25" i="15"/>
  <c r="K23" i="3"/>
  <c r="K22" i="3"/>
  <c r="K113" i="3" s="1"/>
  <c r="K24" i="3"/>
  <c r="K25" i="3"/>
  <c r="K26" i="3"/>
  <c r="K114" i="3" s="1"/>
  <c r="K146" i="3" s="1"/>
  <c r="K21" i="3"/>
  <c r="K20" i="3"/>
  <c r="I13" i="3"/>
  <c r="J13" i="3"/>
  <c r="K13" i="3"/>
  <c r="G13" i="3"/>
  <c r="H13" i="3"/>
  <c r="D6" i="3"/>
  <c r="E6" i="3"/>
  <c r="F6" i="3"/>
  <c r="G6" i="3"/>
  <c r="G43" i="3" s="1"/>
  <c r="H6" i="3"/>
  <c r="I6" i="3"/>
  <c r="X25" i="16" s="1"/>
  <c r="X26" i="16" s="1"/>
  <c r="J6" i="3"/>
  <c r="W25" i="16" s="1"/>
  <c r="AB12" i="3"/>
  <c r="AC12" i="3"/>
  <c r="AD12" i="3"/>
  <c r="AE12" i="3"/>
  <c r="AF12" i="3"/>
  <c r="AG12" i="3"/>
  <c r="AH12" i="3"/>
  <c r="AI12" i="3"/>
  <c r="AJ12" i="3"/>
  <c r="AK12" i="3"/>
  <c r="AA12" i="3"/>
  <c r="X4" i="16"/>
  <c r="J27" i="9"/>
  <c r="K25" i="17"/>
  <c r="K26" i="17"/>
  <c r="N18" i="17"/>
  <c r="K20" i="17"/>
  <c r="K21" i="17"/>
  <c r="K33" i="17"/>
  <c r="K24" i="17"/>
  <c r="K35" i="17"/>
  <c r="P29" i="15"/>
  <c r="F114" i="11"/>
  <c r="G102" i="11"/>
  <c r="P102" i="11" s="1"/>
  <c r="H102" i="11"/>
  <c r="Q102" i="11" s="1"/>
  <c r="I102" i="11"/>
  <c r="R102" i="11" s="1"/>
  <c r="J102" i="11"/>
  <c r="S102" i="11" s="1"/>
  <c r="K102" i="11"/>
  <c r="L102" i="11"/>
  <c r="M102" i="11"/>
  <c r="N102" i="11"/>
  <c r="O102" i="11"/>
  <c r="G103" i="11"/>
  <c r="H103" i="11"/>
  <c r="I103" i="11"/>
  <c r="J103" i="11"/>
  <c r="L103" i="11"/>
  <c r="M103" i="11"/>
  <c r="N103" i="11"/>
  <c r="O103" i="11"/>
  <c r="P103" i="11"/>
  <c r="Q103" i="11"/>
  <c r="R103" i="11"/>
  <c r="S103" i="11"/>
  <c r="G104" i="11"/>
  <c r="H104" i="11"/>
  <c r="I104" i="11"/>
  <c r="R104" i="11" s="1"/>
  <c r="J104" i="11"/>
  <c r="S104" i="11" s="1"/>
  <c r="L104" i="11"/>
  <c r="M104" i="11"/>
  <c r="N104" i="11"/>
  <c r="O104" i="11"/>
  <c r="P104" i="11"/>
  <c r="Q104" i="11"/>
  <c r="G105" i="11"/>
  <c r="H105" i="11"/>
  <c r="I105" i="11"/>
  <c r="R105" i="11" s="1"/>
  <c r="J105" i="11"/>
  <c r="S105" i="11" s="1"/>
  <c r="L105" i="11"/>
  <c r="M105" i="11"/>
  <c r="N105" i="11"/>
  <c r="O105" i="11"/>
  <c r="P105" i="11"/>
  <c r="Q105" i="11"/>
  <c r="G106" i="11"/>
  <c r="G114" i="11" s="1"/>
  <c r="P114" i="11" s="1"/>
  <c r="H106" i="11"/>
  <c r="H114" i="11" s="1"/>
  <c r="Q114" i="11" s="1"/>
  <c r="I106" i="11"/>
  <c r="I114" i="11" s="1"/>
  <c r="R114" i="11" s="1"/>
  <c r="J106" i="11"/>
  <c r="S106" i="11" s="1"/>
  <c r="L106" i="11"/>
  <c r="M106" i="11"/>
  <c r="N106" i="11"/>
  <c r="O106" i="11"/>
  <c r="G107" i="11"/>
  <c r="H107" i="11"/>
  <c r="Q107" i="11" s="1"/>
  <c r="I107" i="11"/>
  <c r="R107" i="11" s="1"/>
  <c r="J107" i="11"/>
  <c r="S107" i="11" s="1"/>
  <c r="L107" i="11"/>
  <c r="M107" i="11"/>
  <c r="N107" i="11"/>
  <c r="O107" i="11"/>
  <c r="P107" i="11"/>
  <c r="G108" i="11"/>
  <c r="P108" i="11" s="1"/>
  <c r="H108" i="11"/>
  <c r="Q108" i="11" s="1"/>
  <c r="I108" i="11"/>
  <c r="R108" i="11" s="1"/>
  <c r="J108" i="11"/>
  <c r="S108" i="11" s="1"/>
  <c r="L108" i="11"/>
  <c r="M108" i="11"/>
  <c r="N108" i="11"/>
  <c r="O108" i="11"/>
  <c r="G109" i="11"/>
  <c r="P109" i="11" s="1"/>
  <c r="H109" i="11"/>
  <c r="Q109" i="11" s="1"/>
  <c r="I109" i="11"/>
  <c r="R109" i="11" s="1"/>
  <c r="J109" i="11"/>
  <c r="S109" i="11" s="1"/>
  <c r="L109" i="11"/>
  <c r="M109" i="11"/>
  <c r="N109" i="11"/>
  <c r="O109" i="11"/>
  <c r="G110" i="11"/>
  <c r="H110" i="11"/>
  <c r="Q110" i="11" s="1"/>
  <c r="I110" i="11"/>
  <c r="R110" i="11" s="1"/>
  <c r="J110" i="11"/>
  <c r="S110" i="11" s="1"/>
  <c r="L110" i="11"/>
  <c r="M110" i="11"/>
  <c r="N110" i="11"/>
  <c r="O110" i="11"/>
  <c r="P110" i="11"/>
  <c r="G111" i="11"/>
  <c r="P111" i="11" s="1"/>
  <c r="H111" i="11"/>
  <c r="Q111" i="11" s="1"/>
  <c r="I111" i="11"/>
  <c r="R111" i="11" s="1"/>
  <c r="J111" i="11"/>
  <c r="S111" i="11" s="1"/>
  <c r="L111" i="11"/>
  <c r="M111" i="11"/>
  <c r="N111" i="11"/>
  <c r="O111" i="11"/>
  <c r="G112" i="11"/>
  <c r="P112" i="11" s="1"/>
  <c r="H112" i="11"/>
  <c r="Q112" i="11" s="1"/>
  <c r="I112" i="11"/>
  <c r="R112" i="11" s="1"/>
  <c r="J112" i="11"/>
  <c r="S112" i="11" s="1"/>
  <c r="L112" i="11"/>
  <c r="M112" i="11"/>
  <c r="N112" i="11"/>
  <c r="O112" i="11"/>
  <c r="G113" i="11"/>
  <c r="P113" i="11" s="1"/>
  <c r="H113" i="11"/>
  <c r="Q113" i="11" s="1"/>
  <c r="I113" i="11"/>
  <c r="R113" i="11" s="1"/>
  <c r="J113" i="11"/>
  <c r="S113" i="11" s="1"/>
  <c r="L113" i="11"/>
  <c r="M113" i="11"/>
  <c r="N113" i="11"/>
  <c r="O113" i="11"/>
  <c r="B114" i="11"/>
  <c r="C114" i="11"/>
  <c r="L114" i="11" s="1"/>
  <c r="D114" i="11"/>
  <c r="M114" i="11" s="1"/>
  <c r="E114" i="11"/>
  <c r="N114" i="11" s="1"/>
  <c r="O114" i="11"/>
  <c r="V7" i="9"/>
  <c r="E128" i="13"/>
  <c r="AO9" i="15"/>
  <c r="AP9" i="15"/>
  <c r="CD71" i="15"/>
  <c r="CC37" i="15"/>
  <c r="CD36" i="15" a="1"/>
  <c r="CD36" i="15" s="1"/>
  <c r="G15" i="9"/>
  <c r="L15" i="9"/>
  <c r="K15" i="9"/>
  <c r="Z77" i="13"/>
  <c r="Z78" i="13"/>
  <c r="Z79" i="13"/>
  <c r="Z80" i="13"/>
  <c r="Z81" i="13"/>
  <c r="Z82" i="13"/>
  <c r="Z83" i="13"/>
  <c r="Z84" i="13"/>
  <c r="Z85" i="13"/>
  <c r="Z86" i="13"/>
  <c r="Z87" i="13"/>
  <c r="Z88" i="13"/>
  <c r="Z89" i="13"/>
  <c r="Z90" i="13"/>
  <c r="Z76" i="13"/>
  <c r="D132" i="13"/>
  <c r="D136" i="13"/>
  <c r="D140" i="13"/>
  <c r="C136" i="13"/>
  <c r="C140" i="13"/>
  <c r="V13" i="9"/>
  <c r="J52" i="3" l="1"/>
  <c r="W26" i="16"/>
  <c r="K145" i="3"/>
  <c r="K115" i="3"/>
  <c r="AN57" i="15"/>
  <c r="AP47" i="15"/>
  <c r="AN47" i="15"/>
  <c r="AN56" i="15"/>
  <c r="AH75" i="15"/>
  <c r="AN68" i="15" s="1"/>
  <c r="AO72" i="15"/>
  <c r="AP48" i="15"/>
  <c r="AN54" i="15"/>
  <c r="AO71" i="15"/>
  <c r="AN59" i="15"/>
  <c r="AO69" i="15"/>
  <c r="V25" i="16"/>
  <c r="K80" i="3"/>
  <c r="K92" i="3"/>
  <c r="K90" i="3"/>
  <c r="K94" i="3"/>
  <c r="Z91" i="13"/>
  <c r="K43" i="3"/>
  <c r="K46" i="3"/>
  <c r="K123" i="3" s="1"/>
  <c r="K155" i="3" s="1"/>
  <c r="AP70" i="15"/>
  <c r="AP55" i="15"/>
  <c r="AN58" i="15"/>
  <c r="AO70" i="15"/>
  <c r="AP51" i="15"/>
  <c r="AN52" i="15"/>
  <c r="AN66" i="15"/>
  <c r="AN50" i="15"/>
  <c r="AN65" i="15"/>
  <c r="AN49" i="15"/>
  <c r="AN64" i="15"/>
  <c r="AO68" i="15"/>
  <c r="AP68" i="15"/>
  <c r="AN62" i="15"/>
  <c r="AN61" i="15"/>
  <c r="AN63" i="15"/>
  <c r="J114" i="11"/>
  <c r="S114" i="11" s="1"/>
  <c r="R106" i="11"/>
  <c r="Q106" i="11"/>
  <c r="P106" i="11"/>
  <c r="K52" i="3" l="1"/>
  <c r="K57" i="3" s="1"/>
  <c r="K126" i="3" s="1"/>
  <c r="V26" i="16"/>
  <c r="K122" i="3"/>
  <c r="K154" i="3" s="1"/>
  <c r="K140" i="3"/>
  <c r="K171" i="3" s="1"/>
  <c r="K144" i="3"/>
  <c r="K176" i="3"/>
  <c r="AN72" i="15"/>
  <c r="AN69" i="15"/>
  <c r="AN73" i="15"/>
  <c r="AP74" i="15"/>
  <c r="AR53" i="15" s="1"/>
  <c r="AN70" i="15"/>
  <c r="AR47" i="15"/>
  <c r="AN71" i="15"/>
  <c r="AR61" i="15"/>
  <c r="AV48" i="15" s="1"/>
  <c r="AR58" i="15"/>
  <c r="AV60" i="15" s="1"/>
  <c r="AR60" i="15"/>
  <c r="AR54" i="15"/>
  <c r="AR52" i="15"/>
  <c r="AV63" i="15" s="1"/>
  <c r="AR55" i="15"/>
  <c r="AV54" i="15" s="1"/>
  <c r="AR70" i="15"/>
  <c r="J16" i="9"/>
  <c r="K16" i="9"/>
  <c r="L16" i="9"/>
  <c r="J128" i="13"/>
  <c r="E129" i="13"/>
  <c r="E130" i="13"/>
  <c r="E131" i="13"/>
  <c r="C132" i="13"/>
  <c r="E133" i="13"/>
  <c r="E134" i="13"/>
  <c r="E135" i="13"/>
  <c r="E137" i="13"/>
  <c r="E138" i="13"/>
  <c r="E139" i="13"/>
  <c r="K139" i="13"/>
  <c r="E141" i="13"/>
  <c r="K141" i="13"/>
  <c r="E142" i="13"/>
  <c r="K142" i="13"/>
  <c r="E143" i="13"/>
  <c r="K143" i="13"/>
  <c r="B144" i="13"/>
  <c r="C144" i="13"/>
  <c r="V8" i="9"/>
  <c r="I15" i="9" s="1"/>
  <c r="J15" i="9" s="1"/>
  <c r="K42" i="17"/>
  <c r="L43" i="17"/>
  <c r="J40" i="17"/>
  <c r="K39" i="17"/>
  <c r="J39" i="17"/>
  <c r="K46" i="17"/>
  <c r="K41" i="17"/>
  <c r="T14" i="9"/>
  <c r="W14" i="9"/>
  <c r="V15" i="9"/>
  <c r="T7" i="9"/>
  <c r="S7" i="9"/>
  <c r="Q8" i="9"/>
  <c r="R8" i="9"/>
  <c r="S8" i="9"/>
  <c r="T8" i="9"/>
  <c r="F15" i="9"/>
  <c r="G16" i="9"/>
  <c r="E15" i="9"/>
  <c r="H15" i="9"/>
  <c r="V6" i="9"/>
  <c r="T6" i="9"/>
  <c r="I16" i="9"/>
  <c r="D15" i="9"/>
  <c r="V16" i="9"/>
  <c r="V19" i="9" s="1"/>
  <c r="G27" i="9"/>
  <c r="E41" i="9"/>
  <c r="D41" i="9"/>
  <c r="E27" i="9" s="1"/>
  <c r="F27" i="9" s="1"/>
  <c r="AY14" i="15"/>
  <c r="BA14" i="15" s="1"/>
  <c r="AR51" i="15" l="1"/>
  <c r="AV61" i="15" s="1"/>
  <c r="AR73" i="15"/>
  <c r="AR72" i="15"/>
  <c r="AR68" i="15"/>
  <c r="AR63" i="15"/>
  <c r="AV51" i="15" s="1"/>
  <c r="AR62" i="15"/>
  <c r="AV50" i="15" s="1"/>
  <c r="AR67" i="15"/>
  <c r="AR65" i="15"/>
  <c r="AV53" i="15" s="1"/>
  <c r="AV49" i="15"/>
  <c r="AR64" i="15"/>
  <c r="AV52" i="15" s="1"/>
  <c r="AR69" i="15"/>
  <c r="AR71" i="15"/>
  <c r="AR59" i="15"/>
  <c r="AV62" i="15" s="1"/>
  <c r="AR50" i="15"/>
  <c r="AR49" i="15"/>
  <c r="AV59" i="15" s="1"/>
  <c r="AR48" i="15"/>
  <c r="AV55" i="15" s="1"/>
  <c r="AR56" i="15"/>
  <c r="AR57" i="15"/>
  <c r="K183" i="3"/>
  <c r="K153" i="3"/>
  <c r="K156" i="3"/>
  <c r="AV46" i="15"/>
  <c r="AV47" i="15"/>
  <c r="E136" i="13"/>
  <c r="I132" i="13"/>
  <c r="I136" i="13" s="1"/>
  <c r="I140" i="13" s="1"/>
  <c r="E140" i="13"/>
  <c r="E132" i="13"/>
  <c r="K40" i="17"/>
  <c r="K43" i="17" s="1"/>
  <c r="V20" i="9"/>
  <c r="H27" i="9"/>
  <c r="E28" i="9"/>
  <c r="F28" i="9" s="1"/>
  <c r="BM62" i="12"/>
  <c r="AD112" i="12"/>
  <c r="AD111" i="12"/>
  <c r="AD102" i="12"/>
  <c r="AD100" i="12"/>
  <c r="AD101" i="12"/>
  <c r="AD87" i="12"/>
  <c r="R91" i="12"/>
  <c r="P107" i="12"/>
  <c r="P108" i="12" s="1"/>
  <c r="U107" i="12"/>
  <c r="C107" i="12"/>
  <c r="C108" i="12" s="1"/>
  <c r="M107" i="12"/>
  <c r="M108" i="12" s="1"/>
  <c r="M112" i="12" s="1"/>
  <c r="M94" i="12"/>
  <c r="Q102" i="12"/>
  <c r="M104" i="12"/>
  <c r="J105" i="12"/>
  <c r="J87" i="12"/>
  <c r="J100" i="12"/>
  <c r="H108" i="12"/>
  <c r="H104" i="12"/>
  <c r="J104" i="12" s="1"/>
  <c r="H95" i="12"/>
  <c r="G107" i="12"/>
  <c r="G106" i="12"/>
  <c r="G92" i="12"/>
  <c r="G105" i="12"/>
  <c r="G104" i="12"/>
  <c r="G103" i="12"/>
  <c r="G102" i="12"/>
  <c r="G101" i="12"/>
  <c r="G100" i="12"/>
  <c r="G91" i="12"/>
  <c r="G90" i="12"/>
  <c r="G89" i="12"/>
  <c r="G88" i="12"/>
  <c r="F95" i="12"/>
  <c r="C95" i="12"/>
  <c r="C104" i="12"/>
  <c r="C91" i="12"/>
  <c r="G87" i="12"/>
  <c r="AE100" i="12"/>
  <c r="AF100" i="12"/>
  <c r="AG100" i="12"/>
  <c r="AH100" i="12" s="1"/>
  <c r="AI100" i="12"/>
  <c r="AK100" i="12" s="1"/>
  <c r="AJ100" i="12"/>
  <c r="AE101" i="12"/>
  <c r="AF101" i="12"/>
  <c r="AG101" i="12"/>
  <c r="AI101" i="12"/>
  <c r="AK101" i="12"/>
  <c r="AL101" i="12"/>
  <c r="AE102" i="12"/>
  <c r="AF102" i="12"/>
  <c r="AG102" i="12"/>
  <c r="AL102" i="12" s="1"/>
  <c r="AI102" i="12"/>
  <c r="AK102" i="12"/>
  <c r="AD103" i="12"/>
  <c r="AE103" i="12"/>
  <c r="AF103" i="12"/>
  <c r="AG103" i="12"/>
  <c r="AI103" i="12"/>
  <c r="AK103" i="12" s="1"/>
  <c r="AL103" i="12"/>
  <c r="AE104" i="12"/>
  <c r="AF104" i="12"/>
  <c r="AD105" i="12"/>
  <c r="AE105" i="12"/>
  <c r="AF105" i="12"/>
  <c r="AG105" i="12"/>
  <c r="AL105" i="12" s="1"/>
  <c r="AI105" i="12"/>
  <c r="AK105" i="12" s="1"/>
  <c r="AD106" i="12"/>
  <c r="AE106" i="12"/>
  <c r="AF106" i="12"/>
  <c r="AG106" i="12"/>
  <c r="AL106" i="12" s="1"/>
  <c r="AI106" i="12"/>
  <c r="AK106" i="12" s="1"/>
  <c r="AE107" i="12"/>
  <c r="AF107" i="12"/>
  <c r="AE108" i="12"/>
  <c r="AF108" i="12"/>
  <c r="AD109" i="12"/>
  <c r="AE109" i="12"/>
  <c r="AF109" i="12"/>
  <c r="AG109" i="12"/>
  <c r="AI109" i="12"/>
  <c r="AK109" i="12" s="1"/>
  <c r="AL109" i="12"/>
  <c r="AD110" i="12"/>
  <c r="AE110" i="12"/>
  <c r="AF110" i="12"/>
  <c r="AG110" i="12"/>
  <c r="AL110" i="12" s="1"/>
  <c r="AI110" i="12"/>
  <c r="AK110" i="12" s="1"/>
  <c r="AE111" i="12"/>
  <c r="AF111" i="12"/>
  <c r="AG111" i="12"/>
  <c r="AL111" i="12" s="1"/>
  <c r="AI111" i="12"/>
  <c r="AK111" i="12"/>
  <c r="AE112" i="12"/>
  <c r="AF112" i="12"/>
  <c r="I100" i="12"/>
  <c r="K100" i="12"/>
  <c r="Q100" i="12"/>
  <c r="S100" i="12"/>
  <c r="T100" i="12"/>
  <c r="U100" i="12"/>
  <c r="J101" i="12"/>
  <c r="K101" i="12"/>
  <c r="Q101" i="12"/>
  <c r="T101" i="12"/>
  <c r="U101" i="12"/>
  <c r="J102" i="12"/>
  <c r="K102" i="12"/>
  <c r="T102" i="12"/>
  <c r="U102" i="12"/>
  <c r="J103" i="12"/>
  <c r="K103" i="12"/>
  <c r="Q103" i="12"/>
  <c r="T103" i="12"/>
  <c r="U103" i="12"/>
  <c r="P104" i="12"/>
  <c r="Q104" i="12" s="1"/>
  <c r="R104" i="12"/>
  <c r="K105" i="12"/>
  <c r="T105" i="12"/>
  <c r="U105" i="12"/>
  <c r="J106" i="12"/>
  <c r="K106" i="12"/>
  <c r="T106" i="12"/>
  <c r="U106" i="12"/>
  <c r="K107" i="12"/>
  <c r="R107" i="12"/>
  <c r="T107" i="12" s="1"/>
  <c r="J109" i="12"/>
  <c r="K109" i="12"/>
  <c r="T109" i="12"/>
  <c r="U109" i="12"/>
  <c r="J110" i="12"/>
  <c r="K110" i="12"/>
  <c r="T110" i="12"/>
  <c r="U110" i="12"/>
  <c r="J111" i="12"/>
  <c r="K111" i="12"/>
  <c r="T111" i="12"/>
  <c r="U111" i="12"/>
  <c r="B112" i="12"/>
  <c r="D112" i="12"/>
  <c r="E112" i="12"/>
  <c r="N112" i="12"/>
  <c r="O112" i="12"/>
  <c r="AY83" i="11"/>
  <c r="BC14" i="15"/>
  <c r="AQ32" i="15"/>
  <c r="AQ33" i="15"/>
  <c r="AQ34" i="15"/>
  <c r="AQ35" i="15"/>
  <c r="AQ36" i="15"/>
  <c r="AQ31" i="15"/>
  <c r="CK30" i="15"/>
  <c r="CL9" i="15"/>
  <c r="AP10" i="15"/>
  <c r="AP12" i="15"/>
  <c r="AP13" i="15"/>
  <c r="AP15" i="15"/>
  <c r="AP16" i="15"/>
  <c r="AP17" i="15"/>
  <c r="AP18" i="15"/>
  <c r="AP19" i="15"/>
  <c r="AP20" i="15"/>
  <c r="AP21" i="15"/>
  <c r="AP22" i="15"/>
  <c r="AP23" i="15"/>
  <c r="AP24" i="15"/>
  <c r="AP25" i="15"/>
  <c r="AP26" i="15"/>
  <c r="AP27" i="15"/>
  <c r="AP28" i="15"/>
  <c r="AP29" i="15"/>
  <c r="AP30" i="15"/>
  <c r="AP31" i="15"/>
  <c r="AP32" i="15"/>
  <c r="AP33" i="15"/>
  <c r="AP34" i="15"/>
  <c r="AP35" i="15"/>
  <c r="AP36" i="15"/>
  <c r="CL13" i="15"/>
  <c r="CL12" i="15"/>
  <c r="CL11" i="15"/>
  <c r="CL10" i="15"/>
  <c r="AY29" i="15"/>
  <c r="BA29" i="15" s="1"/>
  <c r="BC29" i="15" s="1"/>
  <c r="AY28" i="15"/>
  <c r="BA28" i="15" s="1"/>
  <c r="BC28" i="15" s="1"/>
  <c r="AY27" i="15"/>
  <c r="BA27" i="15" s="1"/>
  <c r="BC27" i="15" s="1"/>
  <c r="AY26" i="15"/>
  <c r="BA26" i="15" s="1"/>
  <c r="BC26" i="15" s="1"/>
  <c r="AY25" i="15"/>
  <c r="BA25" i="15" s="1"/>
  <c r="BC25" i="15" s="1"/>
  <c r="AY24" i="15"/>
  <c r="BA24" i="15" s="1"/>
  <c r="BC24" i="15" s="1"/>
  <c r="AY23" i="15"/>
  <c r="BA23" i="15" s="1"/>
  <c r="BC23" i="15" s="1"/>
  <c r="AY22" i="15"/>
  <c r="BA22" i="15" s="1"/>
  <c r="BC22" i="15" s="1"/>
  <c r="AY21" i="15"/>
  <c r="BA21" i="15" s="1"/>
  <c r="BC21" i="15" s="1"/>
  <c r="AY20" i="15"/>
  <c r="AY19" i="15"/>
  <c r="BA19" i="15" s="1"/>
  <c r="BC19" i="15" s="1"/>
  <c r="AY18" i="15"/>
  <c r="BA18" i="15" s="1"/>
  <c r="BC18" i="15" s="1"/>
  <c r="AY17" i="15"/>
  <c r="BA17" i="15" s="1"/>
  <c r="BC17" i="15" s="1"/>
  <c r="AY16" i="15"/>
  <c r="BA16" i="15" s="1"/>
  <c r="BC16" i="15" s="1"/>
  <c r="AY15" i="15"/>
  <c r="AY13" i="15"/>
  <c r="BA13" i="15" s="1"/>
  <c r="BC13" i="15" s="1"/>
  <c r="AY12" i="15"/>
  <c r="BA12" i="15" s="1"/>
  <c r="BC12" i="15" s="1"/>
  <c r="AY11" i="15"/>
  <c r="BA11" i="15" s="1"/>
  <c r="BC11" i="15" s="1"/>
  <c r="CJ9" i="15"/>
  <c r="CJ10" i="15"/>
  <c r="CJ11" i="15"/>
  <c r="CT11" i="15"/>
  <c r="CV11" i="15" s="1"/>
  <c r="CX11" i="15" s="1"/>
  <c r="CJ12" i="15"/>
  <c r="CT12" i="15"/>
  <c r="CV12" i="15" s="1"/>
  <c r="CX12" i="15" s="1"/>
  <c r="CJ13" i="15"/>
  <c r="CT13" i="15"/>
  <c r="CV13" i="15" s="1"/>
  <c r="CX13" i="15" s="1"/>
  <c r="CJ14" i="15"/>
  <c r="CT14" i="15"/>
  <c r="CV14" i="15" s="1"/>
  <c r="CX14" i="15" s="1"/>
  <c r="CL15" i="15"/>
  <c r="CT15" i="15"/>
  <c r="CV15" i="15" s="1"/>
  <c r="CX15" i="15" s="1"/>
  <c r="CJ16" i="15"/>
  <c r="CL16" i="15"/>
  <c r="CT16" i="15"/>
  <c r="CV16" i="15" s="1"/>
  <c r="CX16" i="15" s="1"/>
  <c r="CJ17" i="15"/>
  <c r="CL17" i="15"/>
  <c r="CT17" i="15"/>
  <c r="CV17" i="15" s="1"/>
  <c r="CX17" i="15" s="1"/>
  <c r="CJ18" i="15"/>
  <c r="CL18" i="15"/>
  <c r="CT18" i="15"/>
  <c r="CV18" i="15" s="1"/>
  <c r="CX18" i="15" s="1"/>
  <c r="CJ19" i="15"/>
  <c r="CL19" i="15"/>
  <c r="CT19" i="15"/>
  <c r="CV19" i="15" s="1"/>
  <c r="CX19" i="15" s="1"/>
  <c r="CJ20" i="15"/>
  <c r="CL20" i="15"/>
  <c r="CL34" i="15" s="1"/>
  <c r="CT20" i="15"/>
  <c r="CV20" i="15" s="1"/>
  <c r="CX20" i="15" s="1"/>
  <c r="CJ21" i="15"/>
  <c r="CL21" i="15"/>
  <c r="CT21" i="15"/>
  <c r="CV21" i="15" s="1"/>
  <c r="CX21" i="15" s="1"/>
  <c r="CL22" i="15"/>
  <c r="CT22" i="15"/>
  <c r="CV22" i="15" s="1"/>
  <c r="CX22" i="15" s="1"/>
  <c r="CJ23" i="15"/>
  <c r="CL23" i="15"/>
  <c r="CT23" i="15"/>
  <c r="CV23" i="15" s="1"/>
  <c r="CX23" i="15" s="1"/>
  <c r="CJ24" i="15"/>
  <c r="CL24" i="15"/>
  <c r="CT24" i="15"/>
  <c r="CV24" i="15" s="1"/>
  <c r="CX24" i="15" s="1"/>
  <c r="CJ25" i="15"/>
  <c r="CL25" i="15"/>
  <c r="CO25" i="15"/>
  <c r="CT25" i="15"/>
  <c r="CV25" i="15" s="1"/>
  <c r="CX25" i="15" s="1"/>
  <c r="CJ26" i="15"/>
  <c r="CT26" i="15"/>
  <c r="CV26" i="15" s="1"/>
  <c r="CX26" i="15" s="1"/>
  <c r="CJ27" i="15"/>
  <c r="CL27" i="15"/>
  <c r="CO27" i="15"/>
  <c r="CT27" i="15"/>
  <c r="CV27" i="15" s="1"/>
  <c r="CX27" i="15" s="1"/>
  <c r="CJ28" i="15"/>
  <c r="CL28" i="15"/>
  <c r="CT28" i="15"/>
  <c r="CV28" i="15" s="1"/>
  <c r="CX28" i="15" s="1"/>
  <c r="CL29" i="15"/>
  <c r="CK31" i="15"/>
  <c r="CK32" i="15"/>
  <c r="CK33" i="15"/>
  <c r="CK34" i="15"/>
  <c r="CK35" i="15"/>
  <c r="CI34" i="15"/>
  <c r="CI28" i="15"/>
  <c r="CI27" i="15"/>
  <c r="CI26" i="15"/>
  <c r="CI25" i="15"/>
  <c r="CI24" i="15"/>
  <c r="CI23" i="15"/>
  <c r="CH22" i="15"/>
  <c r="CI21" i="15"/>
  <c r="CI20" i="15"/>
  <c r="CI19" i="15"/>
  <c r="CI18" i="15"/>
  <c r="CI17" i="15"/>
  <c r="CI16" i="15"/>
  <c r="CH15" i="15"/>
  <c r="CI14" i="15"/>
  <c r="CI13" i="15"/>
  <c r="CI12" i="15"/>
  <c r="CI11" i="15"/>
  <c r="CI10" i="15"/>
  <c r="CI9" i="15"/>
  <c r="AO24" i="15"/>
  <c r="AO25" i="15"/>
  <c r="AO26" i="15"/>
  <c r="AO27" i="15"/>
  <c r="AO28" i="15"/>
  <c r="AO29" i="15"/>
  <c r="AO23" i="15"/>
  <c r="AO17" i="15"/>
  <c r="AO18" i="15"/>
  <c r="AO19" i="15"/>
  <c r="AO20" i="15"/>
  <c r="AO21" i="15"/>
  <c r="AO16" i="15"/>
  <c r="AO10" i="15"/>
  <c r="AO11" i="15"/>
  <c r="AO12" i="15"/>
  <c r="AO13" i="15"/>
  <c r="AO14" i="15"/>
  <c r="AN24" i="15"/>
  <c r="AN25" i="15"/>
  <c r="AN26" i="15"/>
  <c r="AN27" i="15"/>
  <c r="AN28" i="15"/>
  <c r="AN29" i="15"/>
  <c r="AN23" i="15"/>
  <c r="AN31" i="15"/>
  <c r="AM22" i="15"/>
  <c r="AM15" i="15"/>
  <c r="AN17" i="15"/>
  <c r="AN18" i="15"/>
  <c r="AN19" i="15"/>
  <c r="AN20" i="15"/>
  <c r="AN21" i="15"/>
  <c r="AN16" i="15"/>
  <c r="AN11" i="15"/>
  <c r="AN12" i="15"/>
  <c r="AN13" i="15"/>
  <c r="AN14" i="15"/>
  <c r="AN10" i="15"/>
  <c r="X35" i="15"/>
  <c r="T53" i="15"/>
  <c r="T54" i="15" s="1"/>
  <c r="T55" i="15" s="1"/>
  <c r="R49" i="15"/>
  <c r="AV57" i="15" l="1"/>
  <c r="AV58" i="15"/>
  <c r="AQ37" i="15"/>
  <c r="I141" i="13"/>
  <c r="I142" i="13" s="1"/>
  <c r="I143" i="13" s="1"/>
  <c r="E144" i="13"/>
  <c r="AI107" i="12"/>
  <c r="AK107" i="12" s="1"/>
  <c r="R108" i="12"/>
  <c r="AI108" i="12" s="1"/>
  <c r="T104" i="12"/>
  <c r="Q107" i="12"/>
  <c r="U104" i="12"/>
  <c r="Q105" i="12"/>
  <c r="AH101" i="12"/>
  <c r="P112" i="12"/>
  <c r="U112" i="12" s="1"/>
  <c r="Q106" i="12"/>
  <c r="AD107" i="12"/>
  <c r="AD104" i="12"/>
  <c r="AI104" i="12"/>
  <c r="AG107" i="12"/>
  <c r="AL107" i="12" s="1"/>
  <c r="G108" i="12"/>
  <c r="K104" i="12"/>
  <c r="AH103" i="12"/>
  <c r="AH102" i="12"/>
  <c r="AG104" i="12"/>
  <c r="AL100" i="12"/>
  <c r="C112" i="12"/>
  <c r="J108" i="12"/>
  <c r="J107" i="12"/>
  <c r="R112" i="12"/>
  <c r="AP37" i="15"/>
  <c r="AR16" i="15" s="1"/>
  <c r="AV12" i="15" s="1"/>
  <c r="CL35" i="15"/>
  <c r="BA15" i="15"/>
  <c r="BC15" i="15" s="1"/>
  <c r="BA20" i="15"/>
  <c r="BC20" i="15" s="1"/>
  <c r="AN35" i="15"/>
  <c r="CL33" i="15"/>
  <c r="AN36" i="15"/>
  <c r="CK36" i="15"/>
  <c r="AN34" i="15"/>
  <c r="AN33" i="15"/>
  <c r="AN32" i="15"/>
  <c r="CL32" i="15"/>
  <c r="CL31" i="15"/>
  <c r="CL30" i="15"/>
  <c r="CI31" i="15"/>
  <c r="CI33" i="15"/>
  <c r="CI35" i="15"/>
  <c r="CI30" i="15"/>
  <c r="CI32" i="15"/>
  <c r="AI6" i="16"/>
  <c r="I43" i="17"/>
  <c r="J99" i="3"/>
  <c r="K100" i="3" s="1"/>
  <c r="K101" i="3" s="1"/>
  <c r="AR21" i="15" l="1"/>
  <c r="AV29" i="15" s="1"/>
  <c r="AR26" i="15"/>
  <c r="AR9" i="15"/>
  <c r="AV11" i="15" s="1"/>
  <c r="AR10" i="15"/>
  <c r="AV20" i="15" s="1"/>
  <c r="AR33" i="15"/>
  <c r="AR13" i="15"/>
  <c r="AV26" i="15" s="1"/>
  <c r="I144" i="13"/>
  <c r="Q110" i="12"/>
  <c r="Q109" i="12"/>
  <c r="U108" i="12"/>
  <c r="Q111" i="12"/>
  <c r="Q112" i="12" s="1"/>
  <c r="Q108" i="12"/>
  <c r="H112" i="12"/>
  <c r="AH104" i="12"/>
  <c r="AH107" i="12"/>
  <c r="K108" i="12"/>
  <c r="AH105" i="12"/>
  <c r="G109" i="12"/>
  <c r="AH106" i="12"/>
  <c r="F112" i="12"/>
  <c r="K112" i="12" s="1"/>
  <c r="AL104" i="12"/>
  <c r="G110" i="12"/>
  <c r="G111" i="12"/>
  <c r="G112" i="12" s="1"/>
  <c r="AG108" i="12"/>
  <c r="AH108" i="12" s="1"/>
  <c r="AD108" i="12"/>
  <c r="AR19" i="15"/>
  <c r="AV23" i="15" s="1"/>
  <c r="AR29" i="15"/>
  <c r="AR22" i="15"/>
  <c r="AR27" i="15"/>
  <c r="AV18" i="15" s="1"/>
  <c r="AR17" i="15"/>
  <c r="AV21" i="15" s="1"/>
  <c r="AR35" i="15"/>
  <c r="AR25" i="15"/>
  <c r="AV16" i="15" s="1"/>
  <c r="CL36" i="15"/>
  <c r="CM9" i="15" s="1"/>
  <c r="AR20" i="15"/>
  <c r="AV27" i="15" s="1"/>
  <c r="AR30" i="15"/>
  <c r="AR18" i="15"/>
  <c r="AV25" i="15" s="1"/>
  <c r="AR28" i="15"/>
  <c r="AR24" i="15"/>
  <c r="AV15" i="15" s="1"/>
  <c r="AR11" i="15"/>
  <c r="AV24" i="15" s="1"/>
  <c r="AR37" i="15"/>
  <c r="AR14" i="15"/>
  <c r="AR15" i="15"/>
  <c r="AR36" i="15"/>
  <c r="AR23" i="15"/>
  <c r="AV13" i="15" s="1"/>
  <c r="AR34" i="15"/>
  <c r="AR12" i="15"/>
  <c r="AV22" i="15" s="1"/>
  <c r="AR31" i="15"/>
  <c r="AR32" i="15"/>
  <c r="CM32" i="15"/>
  <c r="AV28" i="15" l="1"/>
  <c r="J112" i="12"/>
  <c r="AI112" i="12"/>
  <c r="AH111" i="12"/>
  <c r="AH112" i="12" s="1"/>
  <c r="AH110" i="12"/>
  <c r="AL108" i="12"/>
  <c r="AH109" i="12"/>
  <c r="AG112" i="12"/>
  <c r="AL112" i="12" s="1"/>
  <c r="AV19" i="15"/>
  <c r="AV14" i="15"/>
  <c r="CM26" i="15"/>
  <c r="CM35" i="15"/>
  <c r="CM34" i="15"/>
  <c r="CM16" i="15"/>
  <c r="CQ12" i="15" s="1"/>
  <c r="CM21" i="15"/>
  <c r="CQ28" i="15" s="1"/>
  <c r="CM33" i="15"/>
  <c r="CM14" i="15"/>
  <c r="CM22" i="15"/>
  <c r="CM19" i="15"/>
  <c r="CQ22" i="15" s="1"/>
  <c r="CM23" i="15"/>
  <c r="CQ13" i="15" s="1"/>
  <c r="CM20" i="15"/>
  <c r="CQ26" i="15" s="1"/>
  <c r="CQ11" i="15"/>
  <c r="CM18" i="15"/>
  <c r="CQ24" i="15" s="1"/>
  <c r="CM24" i="15"/>
  <c r="CQ14" i="15" s="1"/>
  <c r="CM17" i="15"/>
  <c r="CQ20" i="15" s="1"/>
  <c r="CM15" i="15"/>
  <c r="CM25" i="15"/>
  <c r="CQ15" i="15" s="1"/>
  <c r="CM10" i="15"/>
  <c r="CQ19" i="15" s="1"/>
  <c r="CM13" i="15"/>
  <c r="CM11" i="15"/>
  <c r="CQ23" i="15" s="1"/>
  <c r="CM29" i="15"/>
  <c r="CM12" i="15"/>
  <c r="CQ21" i="15" s="1"/>
  <c r="CM27" i="15"/>
  <c r="CQ17" i="15" s="1"/>
  <c r="CM28" i="15"/>
  <c r="CQ18" i="15" s="1"/>
  <c r="CM30" i="15"/>
  <c r="CM31" i="15"/>
  <c r="CQ25" i="15" l="1"/>
  <c r="CQ27" i="15"/>
  <c r="M112" i="3"/>
  <c r="AF25" i="16"/>
  <c r="AF24" i="16"/>
  <c r="J28" i="9"/>
  <c r="H76" i="3"/>
  <c r="H77" i="3" s="1"/>
  <c r="J9" i="3"/>
  <c r="J15" i="17"/>
  <c r="J20" i="17" s="1"/>
  <c r="J86" i="3" l="1"/>
  <c r="J78" i="3"/>
  <c r="J85" i="3"/>
  <c r="J45" i="3"/>
  <c r="H28" i="9"/>
  <c r="I74" i="3"/>
  <c r="J100" i="3"/>
  <c r="I100" i="3"/>
  <c r="I75" i="3" l="1"/>
  <c r="I76" i="3" s="1"/>
  <c r="I77" i="3" s="1"/>
  <c r="J101" i="3"/>
  <c r="J98" i="3" s="1"/>
  <c r="Q134" i="3"/>
  <c r="P134" i="3"/>
  <c r="Q139" i="3"/>
  <c r="P141" i="3" l="1"/>
  <c r="P142" i="3"/>
  <c r="W141" i="3"/>
  <c r="D100" i="16"/>
  <c r="AP9" i="16" s="1"/>
  <c r="I101" i="3"/>
  <c r="I98" i="3" s="1"/>
  <c r="D100" i="3"/>
  <c r="C100" i="3"/>
  <c r="H100" i="3"/>
  <c r="J83" i="3"/>
  <c r="J81" i="3" s="1"/>
  <c r="J92" i="3"/>
  <c r="J90" i="3"/>
  <c r="I62" i="3"/>
  <c r="J61" i="3"/>
  <c r="J37" i="3"/>
  <c r="J38" i="3"/>
  <c r="D24" i="3"/>
  <c r="J20" i="3"/>
  <c r="J24" i="3"/>
  <c r="J25" i="3"/>
  <c r="J26" i="3"/>
  <c r="H16" i="9"/>
  <c r="J21" i="3" s="1"/>
  <c r="AI93" i="12"/>
  <c r="AP25" i="12" s="1"/>
  <c r="AQ25" i="12" s="1"/>
  <c r="Q90" i="12"/>
  <c r="Q89" i="12"/>
  <c r="Q88" i="12"/>
  <c r="Q87" i="12"/>
  <c r="P94" i="12"/>
  <c r="P81" i="12"/>
  <c r="P91" i="12"/>
  <c r="Q91" i="12" s="1"/>
  <c r="P78" i="12"/>
  <c r="F91" i="12"/>
  <c r="F94" i="12"/>
  <c r="AQ94" i="11"/>
  <c r="AQ83" i="11"/>
  <c r="AQ84" i="11"/>
  <c r="AQ85" i="11"/>
  <c r="AQ86" i="11"/>
  <c r="AQ87" i="11"/>
  <c r="AQ88" i="11"/>
  <c r="AQ89" i="11"/>
  <c r="AQ90" i="11"/>
  <c r="AQ91" i="11"/>
  <c r="AQ92" i="11"/>
  <c r="AQ93" i="11"/>
  <c r="AQ71" i="11"/>
  <c r="AQ82" i="11"/>
  <c r="AQ70" i="11"/>
  <c r="AQ81" i="11"/>
  <c r="AQ77" i="11"/>
  <c r="FK37" i="15"/>
  <c r="FQ31" i="15" s="1"/>
  <c r="EC21" i="15"/>
  <c r="FT20" i="15"/>
  <c r="H17" i="9"/>
  <c r="F63" i="12"/>
  <c r="BO45" i="11"/>
  <c r="AG90" i="12"/>
  <c r="AI98" i="12"/>
  <c r="AG98" i="12"/>
  <c r="AF98" i="12"/>
  <c r="AE98" i="12"/>
  <c r="AD98" i="12"/>
  <c r="AI97" i="12"/>
  <c r="AG97" i="12"/>
  <c r="AF97" i="12"/>
  <c r="AE97" i="12"/>
  <c r="AD97" i="12"/>
  <c r="AI96" i="12"/>
  <c r="AG96" i="12"/>
  <c r="AF96" i="12"/>
  <c r="AE96" i="12"/>
  <c r="AD96" i="12"/>
  <c r="AF95" i="12"/>
  <c r="AE95" i="12"/>
  <c r="AF94" i="12"/>
  <c r="AE94" i="12"/>
  <c r="AG93" i="12"/>
  <c r="AF93" i="12"/>
  <c r="AE93" i="12"/>
  <c r="AD93" i="12"/>
  <c r="AI92" i="12"/>
  <c r="AG92" i="12"/>
  <c r="AF92" i="12"/>
  <c r="AE92" i="12"/>
  <c r="AD92" i="12"/>
  <c r="AF91" i="12"/>
  <c r="AE91" i="12"/>
  <c r="AI90" i="12"/>
  <c r="AF90" i="12"/>
  <c r="AE90" i="12"/>
  <c r="AD90" i="12"/>
  <c r="AI89" i="12"/>
  <c r="AG89" i="12"/>
  <c r="AF89" i="12"/>
  <c r="AE89" i="12"/>
  <c r="AD89" i="12"/>
  <c r="AI88" i="12"/>
  <c r="AG88" i="12"/>
  <c r="AF88" i="12"/>
  <c r="AE88" i="12"/>
  <c r="AD88" i="12"/>
  <c r="AJ87" i="12"/>
  <c r="AI87" i="12"/>
  <c r="AG87" i="12"/>
  <c r="AF87" i="12"/>
  <c r="AE87" i="12"/>
  <c r="J92" i="12"/>
  <c r="H94" i="12"/>
  <c r="H91" i="12"/>
  <c r="K98" i="12"/>
  <c r="K97" i="12"/>
  <c r="K93" i="12"/>
  <c r="K92" i="12"/>
  <c r="C94" i="12"/>
  <c r="U97" i="12"/>
  <c r="U92" i="12"/>
  <c r="U89" i="12"/>
  <c r="P49" i="12"/>
  <c r="P48" i="12"/>
  <c r="R94" i="12"/>
  <c r="M91" i="12"/>
  <c r="AD91" i="12" s="1"/>
  <c r="M78" i="12"/>
  <c r="M81" i="12"/>
  <c r="O99" i="12"/>
  <c r="N99" i="12"/>
  <c r="E99" i="12"/>
  <c r="D99" i="12"/>
  <c r="B99" i="12"/>
  <c r="U98" i="12"/>
  <c r="T98" i="12"/>
  <c r="J98" i="12"/>
  <c r="T97" i="12"/>
  <c r="J97" i="12"/>
  <c r="U96" i="12"/>
  <c r="T96" i="12"/>
  <c r="K96" i="12"/>
  <c r="J96" i="12"/>
  <c r="U93" i="12"/>
  <c r="T93" i="12"/>
  <c r="J93" i="12"/>
  <c r="T92" i="12"/>
  <c r="U90" i="12"/>
  <c r="T90" i="12"/>
  <c r="K90" i="12"/>
  <c r="J90" i="12"/>
  <c r="T89" i="12"/>
  <c r="J89" i="12"/>
  <c r="U88" i="12"/>
  <c r="T88" i="12"/>
  <c r="K88" i="12"/>
  <c r="J88" i="12"/>
  <c r="U87" i="12"/>
  <c r="T87" i="12"/>
  <c r="S87" i="12"/>
  <c r="K87" i="12"/>
  <c r="I87" i="12"/>
  <c r="AQ9" i="16" l="1"/>
  <c r="J80" i="3"/>
  <c r="K107" i="3"/>
  <c r="J60" i="3"/>
  <c r="AD94" i="12"/>
  <c r="AF99" i="12"/>
  <c r="G94" i="12"/>
  <c r="AI91" i="12"/>
  <c r="AK104" i="12" s="1"/>
  <c r="AE99" i="12"/>
  <c r="H99" i="12"/>
  <c r="C99" i="12"/>
  <c r="G96" i="12"/>
  <c r="AI94" i="12"/>
  <c r="AG91" i="12"/>
  <c r="AH91" i="12" s="1"/>
  <c r="Q92" i="12"/>
  <c r="M82" i="12"/>
  <c r="P82" i="12"/>
  <c r="Q93" i="12"/>
  <c r="AG94" i="12"/>
  <c r="G93" i="12"/>
  <c r="M95" i="12"/>
  <c r="R95" i="12"/>
  <c r="T108" i="12" s="1"/>
  <c r="P95" i="12"/>
  <c r="Q94" i="12"/>
  <c r="J120" i="3"/>
  <c r="FQ33" i="15"/>
  <c r="J114" i="3"/>
  <c r="AH89" i="12"/>
  <c r="AH87" i="12"/>
  <c r="AH88" i="12"/>
  <c r="AH90" i="12"/>
  <c r="K89" i="12"/>
  <c r="U91" i="12"/>
  <c r="U94" i="12"/>
  <c r="AQ19" i="16" l="1"/>
  <c r="J128" i="3"/>
  <c r="J185" i="3" s="1"/>
  <c r="J146" i="3"/>
  <c r="F99" i="12"/>
  <c r="AI95" i="12"/>
  <c r="AK108" i="12" s="1"/>
  <c r="R99" i="12"/>
  <c r="G97" i="12"/>
  <c r="AH93" i="12"/>
  <c r="AH92" i="12"/>
  <c r="AH94" i="12"/>
  <c r="G98" i="12"/>
  <c r="G99" i="12" s="1"/>
  <c r="G95" i="12"/>
  <c r="Q98" i="12"/>
  <c r="Q99" i="12" s="1"/>
  <c r="U95" i="12"/>
  <c r="Q97" i="12"/>
  <c r="Q96" i="12"/>
  <c r="Q95" i="12"/>
  <c r="M99" i="12"/>
  <c r="AD99" i="12" s="1"/>
  <c r="AD95" i="12"/>
  <c r="J152" i="3"/>
  <c r="J182" i="3"/>
  <c r="AG95" i="12"/>
  <c r="P99" i="12"/>
  <c r="J160" i="3" l="1"/>
  <c r="AI99" i="12"/>
  <c r="AK112" i="12" s="1"/>
  <c r="T112" i="12"/>
  <c r="AG99" i="12"/>
  <c r="AH95" i="12"/>
  <c r="AH98" i="12"/>
  <c r="AH99" i="12" s="1"/>
  <c r="AH96" i="12"/>
  <c r="AH97" i="12"/>
  <c r="N95" i="11"/>
  <c r="O93" i="11"/>
  <c r="S89" i="11"/>
  <c r="Q89" i="11"/>
  <c r="O89" i="11"/>
  <c r="N89" i="11"/>
  <c r="M89" i="11"/>
  <c r="L89" i="11"/>
  <c r="AB17" i="11"/>
  <c r="AC17" i="11"/>
  <c r="AD17" i="11"/>
  <c r="AE17" i="11"/>
  <c r="AB18" i="11"/>
  <c r="AC18" i="11"/>
  <c r="AD18" i="11"/>
  <c r="AE18" i="11"/>
  <c r="AB19" i="11"/>
  <c r="AC19" i="11"/>
  <c r="AD19" i="11"/>
  <c r="AE19" i="11"/>
  <c r="AB20" i="11"/>
  <c r="AC20" i="11"/>
  <c r="AD20" i="11"/>
  <c r="AE20" i="11"/>
  <c r="AB21" i="11"/>
  <c r="AC21" i="11"/>
  <c r="AD21" i="11"/>
  <c r="AE21" i="11"/>
  <c r="V17" i="11"/>
  <c r="W17" i="11"/>
  <c r="X17" i="11"/>
  <c r="Y17" i="11"/>
  <c r="V18" i="11"/>
  <c r="W18" i="11"/>
  <c r="X18" i="11"/>
  <c r="Y18" i="11"/>
  <c r="V19" i="11"/>
  <c r="W19" i="11"/>
  <c r="X19" i="11"/>
  <c r="Y19" i="11"/>
  <c r="V20" i="11"/>
  <c r="W20" i="11"/>
  <c r="X20" i="11"/>
  <c r="Y20" i="11"/>
  <c r="AB7" i="11"/>
  <c r="AC7" i="11"/>
  <c r="AD7" i="11"/>
  <c r="AE7" i="11"/>
  <c r="AB8" i="11"/>
  <c r="AC8" i="11"/>
  <c r="AD8" i="11"/>
  <c r="AE8" i="11"/>
  <c r="AB9" i="11"/>
  <c r="AC9" i="11"/>
  <c r="AD9" i="11"/>
  <c r="AE9" i="11"/>
  <c r="AB10" i="11"/>
  <c r="AC10" i="11"/>
  <c r="AD10" i="11"/>
  <c r="AE10" i="11"/>
  <c r="AB11" i="11"/>
  <c r="AC11" i="11"/>
  <c r="AD11" i="11"/>
  <c r="AE11" i="11"/>
  <c r="AB12" i="11"/>
  <c r="AC12" i="11"/>
  <c r="AD12" i="11"/>
  <c r="AE12" i="11"/>
  <c r="V7" i="11"/>
  <c r="W7" i="11"/>
  <c r="X7" i="11"/>
  <c r="Y7" i="11"/>
  <c r="V8" i="11"/>
  <c r="W8" i="11"/>
  <c r="X8" i="11"/>
  <c r="Y8" i="11"/>
  <c r="V9" i="11"/>
  <c r="W9" i="11"/>
  <c r="X9" i="11"/>
  <c r="Y9" i="11"/>
  <c r="V10" i="11"/>
  <c r="W10" i="11"/>
  <c r="X10" i="11"/>
  <c r="Y10" i="11"/>
  <c r="V11" i="11"/>
  <c r="W11" i="11"/>
  <c r="X11" i="11"/>
  <c r="Y11" i="11"/>
  <c r="V79" i="11"/>
  <c r="V80" i="11"/>
  <c r="V81" i="11"/>
  <c r="V82" i="11"/>
  <c r="V83" i="11"/>
  <c r="AP74" i="11"/>
  <c r="AQ74" i="11"/>
  <c r="AP75" i="11"/>
  <c r="AQ75" i="11"/>
  <c r="AP84" i="11"/>
  <c r="AP85" i="11"/>
  <c r="AP86" i="11"/>
  <c r="AO94" i="11"/>
  <c r="AO93" i="11"/>
  <c r="AO91" i="11"/>
  <c r="AO92" i="11" s="1"/>
  <c r="AO85" i="11"/>
  <c r="AO86" i="11" s="1"/>
  <c r="AO87" i="11" s="1"/>
  <c r="AO88" i="11" s="1"/>
  <c r="AO89" i="11" s="1"/>
  <c r="AO90" i="11" s="1"/>
  <c r="AO80" i="11"/>
  <c r="AO81" i="11" s="1"/>
  <c r="AO82" i="11" s="1"/>
  <c r="AO83" i="11" s="1"/>
  <c r="AO84" i="11" s="1"/>
  <c r="AO74" i="11"/>
  <c r="AO75" i="11" s="1"/>
  <c r="AO76" i="11" s="1"/>
  <c r="AO77" i="11" s="1"/>
  <c r="AO78" i="11" s="1"/>
  <c r="AO79" i="11" s="1"/>
  <c r="AO57" i="11"/>
  <c r="AO56" i="11"/>
  <c r="AL2" i="11"/>
  <c r="AL75" i="11"/>
  <c r="AL74" i="11"/>
  <c r="BI84" i="11"/>
  <c r="BI81" i="11"/>
  <c r="BI77" i="11"/>
  <c r="BH77" i="11"/>
  <c r="BG78" i="11"/>
  <c r="BE82" i="11"/>
  <c r="BE80" i="11"/>
  <c r="BE66" i="11"/>
  <c r="BB71" i="11"/>
  <c r="BB69" i="11"/>
  <c r="BB82" i="11"/>
  <c r="BB84" i="11"/>
  <c r="BA84" i="11"/>
  <c r="BA77" i="11"/>
  <c r="AZ77" i="11"/>
  <c r="AY85" i="11"/>
  <c r="AY84" i="11"/>
  <c r="AY86" i="11"/>
  <c r="AY75" i="11"/>
  <c r="AY72" i="11"/>
  <c r="AY80" i="11"/>
  <c r="AO61" i="12" l="1"/>
  <c r="E113" i="13"/>
  <c r="E111" i="13"/>
  <c r="J41" i="17"/>
  <c r="J42" i="17"/>
  <c r="J43" i="17" s="1"/>
  <c r="I39" i="17"/>
  <c r="J13" i="17"/>
  <c r="J21" i="17" s="1"/>
  <c r="J33" i="17"/>
  <c r="W11" i="3"/>
  <c r="V11" i="3"/>
  <c r="I13" i="17"/>
  <c r="H75" i="16"/>
  <c r="E89" i="16"/>
  <c r="G75" i="16"/>
  <c r="G88" i="16"/>
  <c r="G49" i="16"/>
  <c r="G62" i="16"/>
  <c r="G36" i="16"/>
  <c r="G23" i="16"/>
  <c r="H26" i="16"/>
  <c r="BD77" i="11"/>
  <c r="J100" i="16"/>
  <c r="C100" i="16"/>
  <c r="J99" i="16"/>
  <c r="H99" i="16"/>
  <c r="E99" i="16"/>
  <c r="J98" i="16"/>
  <c r="H98" i="16"/>
  <c r="E98" i="16"/>
  <c r="J97" i="16"/>
  <c r="H97" i="16"/>
  <c r="E97" i="16"/>
  <c r="J96" i="16"/>
  <c r="H96" i="16"/>
  <c r="E96" i="16"/>
  <c r="J95" i="16"/>
  <c r="H95" i="16"/>
  <c r="E95" i="16"/>
  <c r="J94" i="16"/>
  <c r="H94" i="16"/>
  <c r="E94" i="16"/>
  <c r="E100" i="16" s="1"/>
  <c r="J93" i="16"/>
  <c r="H93" i="16"/>
  <c r="E93" i="16"/>
  <c r="J92" i="16"/>
  <c r="H92" i="16"/>
  <c r="E92" i="16"/>
  <c r="J91" i="16"/>
  <c r="H91" i="16"/>
  <c r="E91" i="16"/>
  <c r="J90" i="16"/>
  <c r="H90" i="16"/>
  <c r="E90" i="16"/>
  <c r="J89" i="16"/>
  <c r="H89" i="16"/>
  <c r="J88" i="16"/>
  <c r="H88" i="16"/>
  <c r="E88" i="16"/>
  <c r="E27" i="16"/>
  <c r="J80" i="16"/>
  <c r="J35" i="17" l="1"/>
  <c r="J14" i="17"/>
  <c r="J8" i="3"/>
  <c r="J55" i="3"/>
  <c r="J24" i="17"/>
  <c r="J36" i="17" l="1"/>
  <c r="J54" i="3" s="1"/>
  <c r="AP19" i="16"/>
  <c r="AS5" i="16"/>
  <c r="AP31" i="16"/>
  <c r="AP24" i="16"/>
  <c r="AP25" i="16"/>
  <c r="AP32" i="16"/>
  <c r="J46" i="3"/>
  <c r="AP26" i="16"/>
  <c r="P28" i="15"/>
  <c r="P27" i="15"/>
  <c r="C122" i="13"/>
  <c r="C123" i="13"/>
  <c r="C127" i="13" s="1"/>
  <c r="C119" i="13"/>
  <c r="B127" i="13"/>
  <c r="K126" i="13"/>
  <c r="E126" i="13"/>
  <c r="K125" i="13"/>
  <c r="E125" i="13"/>
  <c r="K124" i="13"/>
  <c r="E124" i="13"/>
  <c r="D123" i="13"/>
  <c r="K122" i="13"/>
  <c r="E122" i="13"/>
  <c r="E121" i="13"/>
  <c r="E120" i="13"/>
  <c r="D119" i="13"/>
  <c r="E118" i="13"/>
  <c r="E117" i="13"/>
  <c r="E116" i="13"/>
  <c r="C115" i="13"/>
  <c r="D114" i="13"/>
  <c r="D115" i="13" s="1"/>
  <c r="E112" i="13"/>
  <c r="J111" i="13"/>
  <c r="N110" i="13"/>
  <c r="H76" i="16"/>
  <c r="J37" i="16"/>
  <c r="J23" i="3"/>
  <c r="J22" i="3"/>
  <c r="E16" i="9"/>
  <c r="E17" i="9"/>
  <c r="D16" i="9"/>
  <c r="D17" i="9"/>
  <c r="K89" i="11"/>
  <c r="B101" i="11"/>
  <c r="AX87" i="11"/>
  <c r="AY87" i="11"/>
  <c r="BE87" i="11" s="1"/>
  <c r="BE86" i="11"/>
  <c r="BB86" i="11"/>
  <c r="BH86" i="11" s="1"/>
  <c r="BA86" i="11"/>
  <c r="BG86" i="11" s="1"/>
  <c r="AZ86" i="11"/>
  <c r="BE85" i="11"/>
  <c r="BB85" i="11"/>
  <c r="BH85" i="11" s="1"/>
  <c r="AZ85" i="11"/>
  <c r="BA85" i="11" s="1"/>
  <c r="BG85" i="11" s="1"/>
  <c r="BE84" i="11"/>
  <c r="BH84" i="11"/>
  <c r="AZ84" i="11"/>
  <c r="BE83" i="11"/>
  <c r="BB83" i="11"/>
  <c r="BH82" i="11"/>
  <c r="BA82" i="11"/>
  <c r="BG82" i="11" s="1"/>
  <c r="AZ82" i="11"/>
  <c r="BE81" i="11"/>
  <c r="BB81" i="11"/>
  <c r="BH81" i="11" s="1"/>
  <c r="AZ81" i="11"/>
  <c r="BA81" i="11" s="1"/>
  <c r="BB80" i="11"/>
  <c r="BH80" i="11" s="1"/>
  <c r="BE79" i="11"/>
  <c r="BB79" i="11"/>
  <c r="BH79" i="11" s="1"/>
  <c r="AZ79" i="11"/>
  <c r="BA79" i="11" s="1"/>
  <c r="BG79" i="11" s="1"/>
  <c r="BE78" i="11"/>
  <c r="BB78" i="11"/>
  <c r="BH78" i="11" s="1"/>
  <c r="AZ78" i="11"/>
  <c r="BA78" i="11" s="1"/>
  <c r="BE77" i="11"/>
  <c r="BB77" i="11"/>
  <c r="H92" i="11"/>
  <c r="Q92" i="11" s="1"/>
  <c r="G89" i="11"/>
  <c r="R89" i="11"/>
  <c r="M98" i="11"/>
  <c r="F101" i="11"/>
  <c r="E101" i="11"/>
  <c r="D101" i="11"/>
  <c r="C101" i="11"/>
  <c r="O100" i="11"/>
  <c r="N100" i="11"/>
  <c r="M100" i="11"/>
  <c r="L100" i="11"/>
  <c r="J100" i="11"/>
  <c r="I100" i="11"/>
  <c r="H100" i="11"/>
  <c r="G100" i="11"/>
  <c r="O99" i="11"/>
  <c r="N99" i="11"/>
  <c r="M99" i="11"/>
  <c r="L99" i="11"/>
  <c r="AP94" i="11" s="1"/>
  <c r="J99" i="11"/>
  <c r="I99" i="11"/>
  <c r="H99" i="11"/>
  <c r="G99" i="11"/>
  <c r="O98" i="11"/>
  <c r="N98" i="11"/>
  <c r="L98" i="11"/>
  <c r="AP93" i="11" s="1"/>
  <c r="J98" i="11"/>
  <c r="I98" i="11"/>
  <c r="H98" i="11"/>
  <c r="G98" i="11"/>
  <c r="O97" i="11"/>
  <c r="N97" i="11"/>
  <c r="M97" i="11"/>
  <c r="L97" i="11"/>
  <c r="AP92" i="11" s="1"/>
  <c r="J97" i="11"/>
  <c r="I97" i="11"/>
  <c r="H97" i="11"/>
  <c r="G97" i="11"/>
  <c r="O96" i="11"/>
  <c r="N96" i="11"/>
  <c r="M96" i="11"/>
  <c r="L96" i="11"/>
  <c r="AP91" i="11" s="1"/>
  <c r="J96" i="11"/>
  <c r="I96" i="11"/>
  <c r="H96" i="11"/>
  <c r="G96" i="11"/>
  <c r="O95" i="11"/>
  <c r="M95" i="11"/>
  <c r="L95" i="11"/>
  <c r="AP90" i="11" s="1"/>
  <c r="J95" i="11"/>
  <c r="I95" i="11"/>
  <c r="H95" i="11"/>
  <c r="G95" i="11"/>
  <c r="O94" i="11"/>
  <c r="N94" i="11"/>
  <c r="M94" i="11"/>
  <c r="L94" i="11"/>
  <c r="AP89" i="11" s="1"/>
  <c r="J94" i="11"/>
  <c r="I94" i="11"/>
  <c r="H94" i="11"/>
  <c r="G94" i="11"/>
  <c r="N93" i="11"/>
  <c r="M93" i="11"/>
  <c r="L93" i="11"/>
  <c r="AP88" i="11" s="1"/>
  <c r="J93" i="11"/>
  <c r="S93" i="11" s="1"/>
  <c r="I93" i="11"/>
  <c r="R93" i="11" s="1"/>
  <c r="H93" i="11"/>
  <c r="Q93" i="11" s="1"/>
  <c r="G93" i="11"/>
  <c r="P93" i="11" s="1"/>
  <c r="O92" i="11"/>
  <c r="N92" i="11"/>
  <c r="M92" i="11"/>
  <c r="L92" i="11"/>
  <c r="AP87" i="11" s="1"/>
  <c r="J92" i="11"/>
  <c r="S92" i="11" s="1"/>
  <c r="I92" i="11"/>
  <c r="R92" i="11" s="1"/>
  <c r="G92" i="11"/>
  <c r="P92" i="11" s="1"/>
  <c r="O91" i="11"/>
  <c r="N91" i="11"/>
  <c r="M91" i="11"/>
  <c r="L91" i="11"/>
  <c r="J91" i="11"/>
  <c r="S91" i="11" s="1"/>
  <c r="I91" i="11"/>
  <c r="R91" i="11" s="1"/>
  <c r="H91" i="11"/>
  <c r="Q91" i="11" s="1"/>
  <c r="G91" i="11"/>
  <c r="P91" i="11" s="1"/>
  <c r="O90" i="11"/>
  <c r="N90" i="11"/>
  <c r="M90" i="11"/>
  <c r="L90" i="11"/>
  <c r="J90" i="11"/>
  <c r="S90" i="11" s="1"/>
  <c r="I90" i="11"/>
  <c r="R90" i="11" s="1"/>
  <c r="H90" i="11"/>
  <c r="Q90" i="11" s="1"/>
  <c r="G90" i="11"/>
  <c r="P90" i="11" s="1"/>
  <c r="J89" i="11"/>
  <c r="I89" i="11"/>
  <c r="H89" i="11"/>
  <c r="P89" i="11"/>
  <c r="EC25" i="15"/>
  <c r="EA26" i="15"/>
  <c r="DZ26" i="15"/>
  <c r="J123" i="3" l="1"/>
  <c r="K132" i="13"/>
  <c r="K140" i="13"/>
  <c r="K136" i="13"/>
  <c r="E114" i="13"/>
  <c r="J113" i="3"/>
  <c r="F16" i="9"/>
  <c r="Y13" i="11"/>
  <c r="X13" i="11"/>
  <c r="V85" i="11"/>
  <c r="W13" i="11"/>
  <c r="V13" i="11"/>
  <c r="E119" i="13"/>
  <c r="E115" i="13"/>
  <c r="E123" i="13"/>
  <c r="I115" i="13"/>
  <c r="I119" i="13" s="1"/>
  <c r="I123" i="13" s="1"/>
  <c r="U15" i="9"/>
  <c r="U16" i="9" s="1"/>
  <c r="U19" i="9" s="1"/>
  <c r="U20" i="9" s="1"/>
  <c r="BC86" i="11"/>
  <c r="BG84" i="11"/>
  <c r="BA87" i="11"/>
  <c r="BG87" i="11" s="1"/>
  <c r="BC85" i="11"/>
  <c r="BI85" i="11" s="1"/>
  <c r="BC84" i="11"/>
  <c r="BC80" i="11"/>
  <c r="BI80" i="11" s="1"/>
  <c r="BC79" i="11"/>
  <c r="BI79" i="11" s="1"/>
  <c r="BC78" i="11"/>
  <c r="BI78" i="11" s="1"/>
  <c r="BA80" i="11"/>
  <c r="BG80" i="11" s="1"/>
  <c r="BC77" i="11"/>
  <c r="BG77" i="11"/>
  <c r="BC82" i="11"/>
  <c r="BI82" i="11" s="1"/>
  <c r="BC81" i="11"/>
  <c r="BA83" i="11"/>
  <c r="BG81" i="11"/>
  <c r="BB87" i="11"/>
  <c r="BH87" i="11" s="1"/>
  <c r="H101" i="11"/>
  <c r="I101" i="11"/>
  <c r="G101" i="11"/>
  <c r="J101" i="11"/>
  <c r="J155" i="3" l="1"/>
  <c r="J145" i="3"/>
  <c r="J115" i="3"/>
  <c r="S101" i="11"/>
  <c r="AD22" i="11" s="1"/>
  <c r="AD13" i="11"/>
  <c r="R101" i="11"/>
  <c r="AC22" i="11" s="1"/>
  <c r="AC13" i="11"/>
  <c r="Q101" i="11"/>
  <c r="AB22" i="11" s="1"/>
  <c r="AB13" i="11"/>
  <c r="P101" i="11"/>
  <c r="AE22" i="11" s="1"/>
  <c r="AE13" i="11"/>
  <c r="I124" i="13"/>
  <c r="I125" i="13" s="1"/>
  <c r="I126" i="13" s="1"/>
  <c r="E127" i="13"/>
  <c r="BI86" i="11"/>
  <c r="BC87" i="11"/>
  <c r="BI87" i="11" s="1"/>
  <c r="BC83" i="11"/>
  <c r="BI83" i="11" s="1"/>
  <c r="BG83" i="11"/>
  <c r="J144" i="3" l="1"/>
  <c r="J140" i="3"/>
  <c r="J176" i="3"/>
  <c r="I127" i="13"/>
  <c r="BM77" i="11"/>
  <c r="BQ70" i="11"/>
  <c r="BQ69" i="11"/>
  <c r="K144" i="13" l="1"/>
  <c r="J171" i="3"/>
  <c r="C170" i="3"/>
  <c r="G100" i="3"/>
  <c r="F100" i="3"/>
  <c r="E100" i="3"/>
  <c r="C101" i="3"/>
  <c r="C147" i="3"/>
  <c r="B187" i="3"/>
  <c r="A187" i="3"/>
  <c r="B180" i="3"/>
  <c r="A180" i="3"/>
  <c r="C191" i="3"/>
  <c r="C153" i="3"/>
  <c r="K104" i="3"/>
  <c r="BF81" i="10"/>
  <c r="BF82" i="10"/>
  <c r="BF83" i="10"/>
  <c r="BF84" i="10"/>
  <c r="BF85" i="10"/>
  <c r="BF86" i="10"/>
  <c r="BF87" i="10"/>
  <c r="BF88" i="10"/>
  <c r="BE70" i="10"/>
  <c r="BF70" i="10"/>
  <c r="BE71" i="10"/>
  <c r="BF71" i="10"/>
  <c r="BE72" i="10"/>
  <c r="BF72" i="10"/>
  <c r="BE73" i="10"/>
  <c r="BF73" i="10"/>
  <c r="BE68" i="10"/>
  <c r="BF69" i="10"/>
  <c r="BE69" i="10"/>
  <c r="BF68" i="10"/>
  <c r="BE67" i="10"/>
  <c r="BE66" i="10"/>
  <c r="H101" i="3"/>
  <c r="H98" i="3" s="1"/>
  <c r="K106" i="3" l="1"/>
  <c r="K132" i="3" s="1"/>
  <c r="K105" i="3"/>
  <c r="K133" i="3" s="1"/>
  <c r="I104" i="3"/>
  <c r="I105" i="3" s="1"/>
  <c r="H104" i="3"/>
  <c r="H106" i="3" s="1"/>
  <c r="H132" i="3" s="1"/>
  <c r="D104" i="3"/>
  <c r="D105" i="3" s="1"/>
  <c r="D133" i="3" s="1"/>
  <c r="G104" i="3"/>
  <c r="G105" i="3" s="1"/>
  <c r="E104" i="3"/>
  <c r="E105" i="3" s="1"/>
  <c r="E133" i="3" s="1"/>
  <c r="C104" i="3"/>
  <c r="C105" i="3" s="1"/>
  <c r="C133" i="3" s="1"/>
  <c r="J104" i="3"/>
  <c r="F104" i="3"/>
  <c r="F106" i="3" s="1"/>
  <c r="F132" i="3" s="1"/>
  <c r="G133" i="3" l="1"/>
  <c r="M133" i="3" s="1"/>
  <c r="C35" i="2"/>
  <c r="H105" i="3"/>
  <c r="H133" i="3" s="1"/>
  <c r="K165" i="3"/>
  <c r="K187" i="3"/>
  <c r="K164" i="3"/>
  <c r="K180" i="3"/>
  <c r="K131" i="3"/>
  <c r="K163" i="3" s="1"/>
  <c r="I106" i="3"/>
  <c r="I132" i="3" s="1"/>
  <c r="G106" i="3"/>
  <c r="E106" i="3"/>
  <c r="E132" i="3" s="1"/>
  <c r="J106" i="3"/>
  <c r="J105" i="3"/>
  <c r="F105" i="3"/>
  <c r="F133" i="3" s="1"/>
  <c r="F165" i="3" s="1"/>
  <c r="C106" i="3"/>
  <c r="C132" i="3" s="1"/>
  <c r="C180" i="3" s="1"/>
  <c r="D106" i="3"/>
  <c r="D132" i="3" s="1"/>
  <c r="D180" i="3" s="1"/>
  <c r="I133" i="3"/>
  <c r="I187" i="3" s="1"/>
  <c r="H165" i="3"/>
  <c r="H187" i="3"/>
  <c r="H131" i="3"/>
  <c r="H163" i="3" s="1"/>
  <c r="H180" i="3"/>
  <c r="G165" i="3"/>
  <c r="M165" i="3" s="1"/>
  <c r="G187" i="3"/>
  <c r="F180" i="3"/>
  <c r="E131" i="3"/>
  <c r="E163" i="3" s="1"/>
  <c r="E180" i="3"/>
  <c r="E165" i="3"/>
  <c r="E187" i="3"/>
  <c r="D165" i="3"/>
  <c r="D187" i="3"/>
  <c r="C165" i="3"/>
  <c r="C187" i="3"/>
  <c r="G132" i="3" l="1"/>
  <c r="C15" i="2"/>
  <c r="D11" i="2" s="1"/>
  <c r="C131" i="3"/>
  <c r="C163" i="3" s="1"/>
  <c r="C164" i="3"/>
  <c r="F187" i="3"/>
  <c r="D131" i="3"/>
  <c r="D163" i="3" s="1"/>
  <c r="F131" i="3"/>
  <c r="F163" i="3" s="1"/>
  <c r="I131" i="3"/>
  <c r="I163" i="3" s="1"/>
  <c r="J133" i="3"/>
  <c r="J132" i="3"/>
  <c r="D11" i="19"/>
  <c r="I180" i="3"/>
  <c r="I165" i="3"/>
  <c r="M132" i="3" l="1"/>
  <c r="M180" i="3" s="1"/>
  <c r="G131" i="3"/>
  <c r="G180" i="3"/>
  <c r="J131" i="3"/>
  <c r="J164" i="3"/>
  <c r="J180" i="3"/>
  <c r="J165" i="3"/>
  <c r="M187" i="3"/>
  <c r="J187" i="3"/>
  <c r="F17" i="9"/>
  <c r="T15" i="9"/>
  <c r="T16" i="9" s="1"/>
  <c r="M131" i="3" l="1"/>
  <c r="G163" i="3"/>
  <c r="M163" i="3" s="1"/>
  <c r="J163" i="3"/>
  <c r="T19" i="9"/>
  <c r="T20" i="9" l="1"/>
  <c r="L17" i="9"/>
  <c r="G17" i="9"/>
  <c r="H109" i="3"/>
  <c r="H108" i="3"/>
  <c r="I83" i="3"/>
  <c r="I81" i="3" s="1"/>
  <c r="G76" i="3"/>
  <c r="C42" i="17"/>
  <c r="C43" i="17" s="1"/>
  <c r="I108" i="3" l="1"/>
  <c r="I109" i="3"/>
  <c r="I20" i="3"/>
  <c r="I17" i="9"/>
  <c r="J17" i="9" s="1"/>
  <c r="K17" i="9" s="1"/>
  <c r="I21" i="17"/>
  <c r="D50" i="3"/>
  <c r="H50" i="3"/>
  <c r="G50" i="3"/>
  <c r="F50" i="3"/>
  <c r="E50" i="3"/>
  <c r="J109" i="3" l="1"/>
  <c r="K109" i="3" s="1"/>
  <c r="J108" i="3"/>
  <c r="J110" i="3" s="1"/>
  <c r="I24" i="17"/>
  <c r="BG8" i="10"/>
  <c r="BH8" i="10"/>
  <c r="BG9" i="10"/>
  <c r="BH9" i="10"/>
  <c r="BG10" i="10"/>
  <c r="BH10" i="10"/>
  <c r="BG11" i="10"/>
  <c r="BH11" i="10"/>
  <c r="BG12" i="10"/>
  <c r="BH12" i="10"/>
  <c r="BG13" i="10"/>
  <c r="BH13" i="10"/>
  <c r="BG14" i="10"/>
  <c r="BH14" i="10"/>
  <c r="BG15" i="10"/>
  <c r="BH15" i="10"/>
  <c r="BG16" i="10"/>
  <c r="BH16" i="10"/>
  <c r="BG17" i="10"/>
  <c r="BH17" i="10"/>
  <c r="BG18" i="10"/>
  <c r="BH18" i="10"/>
  <c r="BG19" i="10"/>
  <c r="BH19" i="10"/>
  <c r="BG20" i="10"/>
  <c r="BH20" i="10"/>
  <c r="BG21" i="10"/>
  <c r="BH21" i="10"/>
  <c r="BG22" i="10"/>
  <c r="BH22" i="10"/>
  <c r="BG23" i="10"/>
  <c r="BH23" i="10"/>
  <c r="BG24" i="10"/>
  <c r="BH24" i="10"/>
  <c r="BG25" i="10"/>
  <c r="BH25" i="10"/>
  <c r="BF67" i="10"/>
  <c r="BE74" i="10"/>
  <c r="BF74" i="10"/>
  <c r="BE75" i="10"/>
  <c r="BF75" i="10"/>
  <c r="BE76" i="10"/>
  <c r="BF76" i="10"/>
  <c r="BE77" i="10"/>
  <c r="BF77" i="10"/>
  <c r="BE78" i="10"/>
  <c r="BF78" i="10"/>
  <c r="BE79" i="10"/>
  <c r="BF79" i="10"/>
  <c r="BE80" i="10"/>
  <c r="BF80" i="10"/>
  <c r="BE81" i="10"/>
  <c r="BE82" i="10"/>
  <c r="BE83" i="10"/>
  <c r="BE84" i="10"/>
  <c r="BE85" i="10"/>
  <c r="BE86" i="10"/>
  <c r="BE87" i="10"/>
  <c r="BE88" i="10"/>
  <c r="BF66" i="10"/>
  <c r="H52" i="4"/>
  <c r="H53" i="4"/>
  <c r="H54" i="4"/>
  <c r="H55" i="4"/>
  <c r="H57" i="4"/>
  <c r="H59" i="4"/>
  <c r="H60" i="4"/>
  <c r="H61" i="4"/>
  <c r="H62" i="4"/>
  <c r="H44" i="4"/>
  <c r="H37" i="4"/>
  <c r="J26" i="13"/>
  <c r="J43" i="13"/>
  <c r="J60" i="13"/>
  <c r="J77" i="13"/>
  <c r="J94" i="13"/>
  <c r="C108" i="13"/>
  <c r="B110" i="13"/>
  <c r="K109" i="13"/>
  <c r="E109" i="13"/>
  <c r="K108" i="13"/>
  <c r="E108" i="13"/>
  <c r="K107" i="13"/>
  <c r="E107" i="13"/>
  <c r="D106" i="13"/>
  <c r="K123" i="13" s="1"/>
  <c r="C106" i="13"/>
  <c r="K105" i="13"/>
  <c r="E105" i="13"/>
  <c r="E104" i="13"/>
  <c r="E103" i="13"/>
  <c r="D102" i="13"/>
  <c r="K119" i="13" s="1"/>
  <c r="C102" i="13"/>
  <c r="E101" i="13"/>
  <c r="E100" i="13"/>
  <c r="E99" i="13"/>
  <c r="C98" i="13"/>
  <c r="D97" i="13"/>
  <c r="D96" i="13"/>
  <c r="E95" i="13"/>
  <c r="E94" i="13"/>
  <c r="I61" i="3"/>
  <c r="I60" i="3" s="1"/>
  <c r="S16" i="16"/>
  <c r="S55" i="16"/>
  <c r="D87" i="16"/>
  <c r="AO9" i="16" s="1"/>
  <c r="O80" i="16"/>
  <c r="BH24" i="12"/>
  <c r="BG24" i="12"/>
  <c r="BD24" i="12"/>
  <c r="BE24" i="12"/>
  <c r="BC23" i="12"/>
  <c r="BC24" i="12"/>
  <c r="AY18" i="12"/>
  <c r="AZ18" i="12" s="1"/>
  <c r="AY24" i="12"/>
  <c r="AZ24" i="12" s="1"/>
  <c r="AV19" i="12"/>
  <c r="AV20" i="12"/>
  <c r="AV21" i="12"/>
  <c r="AV22" i="12"/>
  <c r="AV23" i="12"/>
  <c r="AV24" i="12"/>
  <c r="AV18" i="12"/>
  <c r="AG74" i="12"/>
  <c r="AL87" i="12" s="1"/>
  <c r="AG75" i="12"/>
  <c r="AL88" i="12" s="1"/>
  <c r="AG76" i="12"/>
  <c r="AL89" i="12" s="1"/>
  <c r="AG77" i="12"/>
  <c r="AL90" i="12" s="1"/>
  <c r="AG79" i="12"/>
  <c r="AL92" i="12" s="1"/>
  <c r="AG80" i="12"/>
  <c r="AL93" i="12" s="1"/>
  <c r="AG83" i="12"/>
  <c r="AL96" i="12" s="1"/>
  <c r="AG84" i="12"/>
  <c r="AL97" i="12" s="1"/>
  <c r="AL98" i="12"/>
  <c r="J58" i="12"/>
  <c r="J84" i="12"/>
  <c r="F81" i="12"/>
  <c r="K94" i="12" s="1"/>
  <c r="F78" i="12"/>
  <c r="K91" i="12" s="1"/>
  <c r="T76" i="12"/>
  <c r="AE74" i="12"/>
  <c r="O114" i="12"/>
  <c r="O117" i="12"/>
  <c r="O120" i="12"/>
  <c r="O121" i="12"/>
  <c r="O122" i="12"/>
  <c r="J87" i="16"/>
  <c r="C87" i="16"/>
  <c r="H100" i="16" s="1"/>
  <c r="J86" i="16"/>
  <c r="H86" i="16"/>
  <c r="E86" i="16"/>
  <c r="I99" i="16" s="1"/>
  <c r="J85" i="16"/>
  <c r="H85" i="16"/>
  <c r="E85" i="16"/>
  <c r="I98" i="16" s="1"/>
  <c r="J84" i="16"/>
  <c r="H84" i="16"/>
  <c r="E84" i="16"/>
  <c r="I97" i="16" s="1"/>
  <c r="J83" i="16"/>
  <c r="H83" i="16"/>
  <c r="E83" i="16"/>
  <c r="I96" i="16" s="1"/>
  <c r="J82" i="16"/>
  <c r="H82" i="16"/>
  <c r="E82" i="16"/>
  <c r="I95" i="16" s="1"/>
  <c r="J81" i="16"/>
  <c r="H81" i="16"/>
  <c r="E81" i="16"/>
  <c r="I94" i="16" s="1"/>
  <c r="H80" i="16"/>
  <c r="E80" i="16"/>
  <c r="I93" i="16" s="1"/>
  <c r="J79" i="16"/>
  <c r="H79" i="16"/>
  <c r="E79" i="16"/>
  <c r="I92" i="16" s="1"/>
  <c r="J78" i="16"/>
  <c r="H78" i="16"/>
  <c r="E78" i="16"/>
  <c r="I91" i="16" s="1"/>
  <c r="J77" i="16"/>
  <c r="H77" i="16"/>
  <c r="E77" i="16"/>
  <c r="I90" i="16" s="1"/>
  <c r="J76" i="16"/>
  <c r="E76" i="16"/>
  <c r="I89" i="16" s="1"/>
  <c r="J75" i="16"/>
  <c r="E75" i="16"/>
  <c r="I88" i="16" s="1"/>
  <c r="I37" i="3"/>
  <c r="I38" i="3"/>
  <c r="I120" i="3" s="1"/>
  <c r="H38" i="3"/>
  <c r="G38" i="3"/>
  <c r="C20" i="2" s="1"/>
  <c r="F38" i="3"/>
  <c r="E38" i="3"/>
  <c r="D38" i="3"/>
  <c r="H37" i="3"/>
  <c r="G37" i="3"/>
  <c r="F37" i="3"/>
  <c r="E37" i="3"/>
  <c r="D37" i="3"/>
  <c r="EC9" i="15"/>
  <c r="EC23" i="15"/>
  <c r="FT23" i="15"/>
  <c r="FQ23" i="15"/>
  <c r="DZ9" i="15"/>
  <c r="DY22" i="15"/>
  <c r="DY15" i="15"/>
  <c r="FP15" i="15"/>
  <c r="EB35" i="15"/>
  <c r="EB34" i="15"/>
  <c r="EB33" i="15"/>
  <c r="EB32" i="15"/>
  <c r="EB31" i="15"/>
  <c r="EB30" i="15"/>
  <c r="EC29" i="15"/>
  <c r="EK28" i="15"/>
  <c r="EM28" i="15" s="1"/>
  <c r="EO28" i="15" s="1"/>
  <c r="EC28" i="15"/>
  <c r="EA28" i="15"/>
  <c r="DZ28" i="15"/>
  <c r="EK27" i="15"/>
  <c r="EM27" i="15" s="1"/>
  <c r="EO27" i="15" s="1"/>
  <c r="EF27" i="15"/>
  <c r="EC27" i="15"/>
  <c r="EA27" i="15"/>
  <c r="DZ27" i="15"/>
  <c r="EK26" i="15"/>
  <c r="EM26" i="15" s="1"/>
  <c r="EO26" i="15" s="1"/>
  <c r="EK25" i="15"/>
  <c r="EM25" i="15" s="1"/>
  <c r="EO25" i="15" s="1"/>
  <c r="EF25" i="15"/>
  <c r="EA25" i="15"/>
  <c r="DZ25" i="15"/>
  <c r="EK24" i="15"/>
  <c r="EM24" i="15" s="1"/>
  <c r="EO24" i="15" s="1"/>
  <c r="EC24" i="15"/>
  <c r="EA24" i="15"/>
  <c r="DZ24" i="15"/>
  <c r="EK23" i="15"/>
  <c r="EA23" i="15"/>
  <c r="DZ23" i="15"/>
  <c r="EK22" i="15"/>
  <c r="EM22" i="15" s="1"/>
  <c r="EO22" i="15" s="1"/>
  <c r="EC22" i="15"/>
  <c r="EK21" i="15"/>
  <c r="EM21" i="15" s="1"/>
  <c r="EO21" i="15" s="1"/>
  <c r="EA21" i="15"/>
  <c r="DZ21" i="15"/>
  <c r="EK20" i="15"/>
  <c r="EM20" i="15" s="1"/>
  <c r="EO20" i="15" s="1"/>
  <c r="EC20" i="15"/>
  <c r="EC34" i="15" s="1"/>
  <c r="EA20" i="15"/>
  <c r="DZ20" i="15"/>
  <c r="EK19" i="15"/>
  <c r="EC19" i="15"/>
  <c r="EA19" i="15"/>
  <c r="DZ19" i="15"/>
  <c r="EK18" i="15"/>
  <c r="EM18" i="15" s="1"/>
  <c r="EO18" i="15" s="1"/>
  <c r="EC18" i="15"/>
  <c r="EA18" i="15"/>
  <c r="DZ18" i="15"/>
  <c r="EK17" i="15"/>
  <c r="EC17" i="15"/>
  <c r="EA17" i="15"/>
  <c r="DZ17" i="15"/>
  <c r="EK16" i="15"/>
  <c r="EM16" i="15" s="1"/>
  <c r="EO16" i="15" s="1"/>
  <c r="EC16" i="15"/>
  <c r="EA16" i="15"/>
  <c r="DZ16" i="15"/>
  <c r="EK15" i="15"/>
  <c r="EM15" i="15" s="1"/>
  <c r="EO15" i="15" s="1"/>
  <c r="EC15" i="15"/>
  <c r="EC35" i="15" s="1"/>
  <c r="EK14" i="15"/>
  <c r="EA14" i="15"/>
  <c r="DZ14" i="15"/>
  <c r="EK13" i="15"/>
  <c r="EM13" i="15" s="1"/>
  <c r="EO13" i="15" s="1"/>
  <c r="EC13" i="15"/>
  <c r="EA13" i="15"/>
  <c r="DZ13" i="15"/>
  <c r="EK12" i="15"/>
  <c r="EM12" i="15" s="1"/>
  <c r="EO12" i="15" s="1"/>
  <c r="EC12" i="15"/>
  <c r="EA12" i="15"/>
  <c r="DZ12" i="15"/>
  <c r="EK11" i="15"/>
  <c r="EM11" i="15" s="1"/>
  <c r="EO11" i="15" s="1"/>
  <c r="EC11" i="15"/>
  <c r="EA11" i="15"/>
  <c r="DZ11" i="15"/>
  <c r="EC10" i="15"/>
  <c r="EA10" i="15"/>
  <c r="DZ10" i="15"/>
  <c r="EA9" i="15"/>
  <c r="AI85" i="12"/>
  <c r="AK98" i="12" s="1"/>
  <c r="AF85" i="12"/>
  <c r="AE85" i="12"/>
  <c r="AD85" i="12"/>
  <c r="AI84" i="12"/>
  <c r="AK97" i="12" s="1"/>
  <c r="AF84" i="12"/>
  <c r="AE84" i="12"/>
  <c r="AD84" i="12"/>
  <c r="AI83" i="12"/>
  <c r="AK96" i="12" s="1"/>
  <c r="AF83" i="12"/>
  <c r="AE83" i="12"/>
  <c r="AD83" i="12"/>
  <c r="AF81" i="12"/>
  <c r="AI80" i="12"/>
  <c r="AF80" i="12"/>
  <c r="AE80" i="12"/>
  <c r="AD80" i="12"/>
  <c r="AI79" i="12"/>
  <c r="AK92" i="12" s="1"/>
  <c r="AF79" i="12"/>
  <c r="AE79" i="12"/>
  <c r="AD79" i="12"/>
  <c r="AI77" i="12"/>
  <c r="AK90" i="12" s="1"/>
  <c r="AF77" i="12"/>
  <c r="AE77" i="12"/>
  <c r="AD77" i="12"/>
  <c r="AI76" i="12"/>
  <c r="AK89" i="12" s="1"/>
  <c r="AF76" i="12"/>
  <c r="AE76" i="12"/>
  <c r="AD76" i="12"/>
  <c r="AI75" i="12"/>
  <c r="AK88" i="12" s="1"/>
  <c r="AF75" i="12"/>
  <c r="AE75" i="12"/>
  <c r="AD75" i="12"/>
  <c r="AJ74" i="12"/>
  <c r="AI74" i="12"/>
  <c r="AK87" i="12" s="1"/>
  <c r="AD74" i="12"/>
  <c r="B86" i="12"/>
  <c r="T85" i="12"/>
  <c r="J85" i="12"/>
  <c r="T84" i="12"/>
  <c r="T83" i="12"/>
  <c r="J83" i="12"/>
  <c r="R81" i="12"/>
  <c r="T94" i="12" s="1"/>
  <c r="H81" i="12"/>
  <c r="J94" i="12" s="1"/>
  <c r="E86" i="12"/>
  <c r="D86" i="12"/>
  <c r="C81" i="12"/>
  <c r="T80" i="12"/>
  <c r="J80" i="12"/>
  <c r="T79" i="12"/>
  <c r="J79" i="12"/>
  <c r="R78" i="12"/>
  <c r="T91" i="12" s="1"/>
  <c r="H78" i="12"/>
  <c r="J91" i="12" s="1"/>
  <c r="AE78" i="12"/>
  <c r="C78" i="12"/>
  <c r="T77" i="12"/>
  <c r="J77" i="12"/>
  <c r="J76" i="12"/>
  <c r="T75" i="12"/>
  <c r="J75" i="12"/>
  <c r="T74" i="12"/>
  <c r="S74" i="12"/>
  <c r="J74" i="12"/>
  <c r="I74" i="12"/>
  <c r="G74" i="12"/>
  <c r="AY73" i="11"/>
  <c r="BA76" i="11"/>
  <c r="AY76" i="11"/>
  <c r="AZ67" i="11"/>
  <c r="BA67" i="11" s="1"/>
  <c r="BG67" i="11" s="1"/>
  <c r="AZ66" i="11"/>
  <c r="BA66" i="11" s="1"/>
  <c r="AX76" i="11"/>
  <c r="AZ75" i="11"/>
  <c r="BE75" i="11"/>
  <c r="BE74" i="11"/>
  <c r="AZ74" i="11"/>
  <c r="BA74" i="11" s="1"/>
  <c r="BG74" i="11" s="1"/>
  <c r="AY74" i="11"/>
  <c r="AZ73" i="11"/>
  <c r="BE73" i="11"/>
  <c r="BE72" i="11"/>
  <c r="BE71" i="11"/>
  <c r="BH71" i="11"/>
  <c r="AZ71" i="11"/>
  <c r="BA71" i="11" s="1"/>
  <c r="BG71" i="11" s="1"/>
  <c r="BE70" i="11"/>
  <c r="BB70" i="11"/>
  <c r="BH70" i="11" s="1"/>
  <c r="AZ70" i="11"/>
  <c r="BA70" i="11" s="1"/>
  <c r="BH69" i="11"/>
  <c r="AY69" i="11"/>
  <c r="BE69" i="11" s="1"/>
  <c r="BE68" i="11"/>
  <c r="BB68" i="11"/>
  <c r="BH68" i="11" s="1"/>
  <c r="AZ68" i="11"/>
  <c r="BA68" i="11" s="1"/>
  <c r="BG68" i="11" s="1"/>
  <c r="BE67" i="11"/>
  <c r="BB67" i="11"/>
  <c r="BH67" i="11" s="1"/>
  <c r="BD66" i="11"/>
  <c r="BB66" i="11"/>
  <c r="BH66" i="11" s="1"/>
  <c r="I24" i="3"/>
  <c r="I25" i="3"/>
  <c r="F29" i="9"/>
  <c r="H29" i="9" s="1"/>
  <c r="J29" i="9"/>
  <c r="I26" i="3" s="1"/>
  <c r="K108" i="3" l="1"/>
  <c r="K110" i="3" s="1"/>
  <c r="K134" i="3" s="1"/>
  <c r="F33" i="19"/>
  <c r="J134" i="3"/>
  <c r="C110" i="13"/>
  <c r="E106" i="13"/>
  <c r="I45" i="3"/>
  <c r="AP24" i="12"/>
  <c r="AQ24" i="12" s="1"/>
  <c r="AK93" i="12"/>
  <c r="AG78" i="12"/>
  <c r="AL91" i="12" s="1"/>
  <c r="AO38" i="12" s="1"/>
  <c r="EC31" i="15"/>
  <c r="E87" i="16"/>
  <c r="I100" i="16" s="1"/>
  <c r="EC32" i="15"/>
  <c r="I21" i="3"/>
  <c r="I23" i="3"/>
  <c r="I114" i="3"/>
  <c r="I146" i="3" s="1"/>
  <c r="H51" i="4"/>
  <c r="EC30" i="15"/>
  <c r="I152" i="3"/>
  <c r="I182" i="3"/>
  <c r="I128" i="3"/>
  <c r="I164" i="3"/>
  <c r="D98" i="13"/>
  <c r="E102" i="13"/>
  <c r="E97" i="13"/>
  <c r="E96" i="13"/>
  <c r="AG81" i="12"/>
  <c r="AL94" i="12" s="1"/>
  <c r="AP38" i="12" s="1"/>
  <c r="P86" i="12"/>
  <c r="U99" i="12" s="1"/>
  <c r="F82" i="12"/>
  <c r="AD81" i="12"/>
  <c r="G76" i="12"/>
  <c r="AE81" i="12"/>
  <c r="AI81" i="12"/>
  <c r="AK94" i="12" s="1"/>
  <c r="AP48" i="12" s="1"/>
  <c r="AI78" i="12"/>
  <c r="AK91" i="12" s="1"/>
  <c r="AO48" i="12" s="1"/>
  <c r="AF78" i="12"/>
  <c r="AF74" i="12"/>
  <c r="Q77" i="12"/>
  <c r="AD78" i="12"/>
  <c r="EC33" i="15"/>
  <c r="EB36" i="15"/>
  <c r="EM14" i="15"/>
  <c r="EO14" i="15" s="1"/>
  <c r="EM17" i="15"/>
  <c r="EO17" i="15" s="1"/>
  <c r="EM23" i="15"/>
  <c r="EO23" i="15" s="1"/>
  <c r="EM19" i="15"/>
  <c r="EO19" i="15" s="1"/>
  <c r="G80" i="12"/>
  <c r="G78" i="12"/>
  <c r="G79" i="12"/>
  <c r="G81" i="12"/>
  <c r="C82" i="12"/>
  <c r="M86" i="12"/>
  <c r="G75" i="12"/>
  <c r="G77" i="12"/>
  <c r="Q74" i="12"/>
  <c r="H82" i="12"/>
  <c r="J95" i="12" s="1"/>
  <c r="R82" i="12"/>
  <c r="T95" i="12" s="1"/>
  <c r="BA73" i="11"/>
  <c r="BC73" i="11" s="1"/>
  <c r="BI73" i="11" s="1"/>
  <c r="BB72" i="11"/>
  <c r="BA75" i="11"/>
  <c r="BG75" i="11" s="1"/>
  <c r="BA72" i="11"/>
  <c r="BG70" i="11"/>
  <c r="BC71" i="11"/>
  <c r="BI71" i="11" s="1"/>
  <c r="BC70" i="11"/>
  <c r="BI70" i="11" s="1"/>
  <c r="BC67" i="11"/>
  <c r="BI67" i="11" s="1"/>
  <c r="BC68" i="11"/>
  <c r="BI68" i="11" s="1"/>
  <c r="BC69" i="11"/>
  <c r="BI69" i="11" s="1"/>
  <c r="BB73" i="11"/>
  <c r="BH73" i="11" s="1"/>
  <c r="BB75" i="11"/>
  <c r="BB74" i="11"/>
  <c r="BH74" i="11" s="1"/>
  <c r="BE76" i="11"/>
  <c r="BG66" i="11"/>
  <c r="BC74" i="11"/>
  <c r="BI74" i="11" s="1"/>
  <c r="BG73" i="11"/>
  <c r="BA69" i="11"/>
  <c r="BG69" i="11" s="1"/>
  <c r="BC66" i="11"/>
  <c r="BI66" i="11" s="1"/>
  <c r="M18" i="4"/>
  <c r="H4" i="4"/>
  <c r="H11" i="4"/>
  <c r="I14" i="17"/>
  <c r="Q11" i="3"/>
  <c r="R11" i="3"/>
  <c r="S11" i="3"/>
  <c r="T11" i="3"/>
  <c r="U11" i="3"/>
  <c r="P11" i="3"/>
  <c r="K166" i="3" l="1"/>
  <c r="K188" i="3"/>
  <c r="K172" i="3"/>
  <c r="J188" i="3"/>
  <c r="J166" i="3"/>
  <c r="I98" i="13"/>
  <c r="I102" i="13" s="1"/>
  <c r="I106" i="13" s="1"/>
  <c r="K115" i="13"/>
  <c r="F86" i="12"/>
  <c r="K99" i="12" s="1"/>
  <c r="K95" i="12"/>
  <c r="I160" i="3"/>
  <c r="EC36" i="15"/>
  <c r="BH72" i="11"/>
  <c r="BH83" i="11"/>
  <c r="I22" i="3"/>
  <c r="I113" i="3" s="1"/>
  <c r="AO19" i="16"/>
  <c r="I8" i="3"/>
  <c r="I15" i="17"/>
  <c r="I185" i="3"/>
  <c r="I9" i="3"/>
  <c r="E98" i="13"/>
  <c r="AG82" i="12"/>
  <c r="AI82" i="12"/>
  <c r="AK95" i="12" s="1"/>
  <c r="AQ48" i="12" s="1"/>
  <c r="AD82" i="12"/>
  <c r="AH80" i="12"/>
  <c r="Q81" i="12"/>
  <c r="Q79" i="12"/>
  <c r="Q78" i="12"/>
  <c r="AH75" i="12"/>
  <c r="AH76" i="12"/>
  <c r="Q80" i="12"/>
  <c r="Q75" i="12"/>
  <c r="Q76" i="12"/>
  <c r="AH74" i="12"/>
  <c r="N86" i="12"/>
  <c r="AE86" i="12" s="1"/>
  <c r="AE82" i="12"/>
  <c r="AH77" i="12"/>
  <c r="O86" i="12"/>
  <c r="AF86" i="12" s="1"/>
  <c r="AF82" i="12"/>
  <c r="R86" i="12"/>
  <c r="T99" i="12" s="1"/>
  <c r="C86" i="12"/>
  <c r="H86" i="12"/>
  <c r="J99" i="12" s="1"/>
  <c r="BC75" i="11"/>
  <c r="BG76" i="11"/>
  <c r="BH75" i="11"/>
  <c r="BB76" i="11"/>
  <c r="BH76" i="11" s="1"/>
  <c r="BC72" i="11"/>
  <c r="BI72" i="11" s="1"/>
  <c r="BG72" i="11"/>
  <c r="BO72" i="11"/>
  <c r="BO71" i="11"/>
  <c r="BO70" i="11"/>
  <c r="BO69" i="11"/>
  <c r="BA65" i="11"/>
  <c r="BA62" i="11"/>
  <c r="BS12" i="11"/>
  <c r="BS13" i="11"/>
  <c r="AY64" i="11"/>
  <c r="AY63" i="11"/>
  <c r="AY62" i="11"/>
  <c r="GI22" i="15"/>
  <c r="GH22" i="15"/>
  <c r="GI21" i="15"/>
  <c r="GH21" i="15"/>
  <c r="GI20" i="15"/>
  <c r="GH20" i="15"/>
  <c r="GI19" i="15"/>
  <c r="GH19" i="15"/>
  <c r="GH11" i="15"/>
  <c r="GI17" i="15"/>
  <c r="GH17" i="15"/>
  <c r="GI16" i="15"/>
  <c r="GH16" i="15"/>
  <c r="GI15" i="15"/>
  <c r="GH15" i="15"/>
  <c r="GI14" i="15"/>
  <c r="GH14" i="15"/>
  <c r="I86" i="3" l="1"/>
  <c r="I85" i="3"/>
  <c r="I90" i="3"/>
  <c r="I78" i="3"/>
  <c r="I80" i="3"/>
  <c r="I110" i="3"/>
  <c r="AO31" i="16"/>
  <c r="AO24" i="16"/>
  <c r="AO32" i="16"/>
  <c r="AO25" i="16"/>
  <c r="I46" i="3"/>
  <c r="I123" i="3" s="1"/>
  <c r="I51" i="3"/>
  <c r="AO26" i="16"/>
  <c r="E110" i="13"/>
  <c r="AG86" i="12"/>
  <c r="AL95" i="12"/>
  <c r="AQ38" i="12" s="1"/>
  <c r="I20" i="17"/>
  <c r="I33" i="17" s="1"/>
  <c r="I35" i="17" s="1"/>
  <c r="I145" i="3"/>
  <c r="I115" i="3"/>
  <c r="L115" i="3" s="1"/>
  <c r="AT15" i="16"/>
  <c r="AT16" i="16" s="1"/>
  <c r="AT18" i="16"/>
  <c r="AT19" i="16" s="1"/>
  <c r="I107" i="13"/>
  <c r="I108" i="13" s="1"/>
  <c r="I109" i="13" s="1"/>
  <c r="I110" i="13" s="1"/>
  <c r="AI86" i="12"/>
  <c r="AK99" i="12" s="1"/>
  <c r="AR48" i="12" s="1"/>
  <c r="AH78" i="12"/>
  <c r="AH81" i="12"/>
  <c r="AH79" i="12"/>
  <c r="AH82" i="12"/>
  <c r="AD86" i="12"/>
  <c r="Q84" i="12"/>
  <c r="Q85" i="12"/>
  <c r="Q86" i="12" s="1"/>
  <c r="Q83" i="12"/>
  <c r="Q82" i="12"/>
  <c r="G82" i="12"/>
  <c r="G85" i="12"/>
  <c r="G86" i="12" s="1"/>
  <c r="G84" i="12"/>
  <c r="G83" i="12"/>
  <c r="BC76" i="11"/>
  <c r="BI76" i="11" s="1"/>
  <c r="BI75" i="11"/>
  <c r="BR69" i="11"/>
  <c r="BS69" i="11" s="1"/>
  <c r="I36" i="17" l="1"/>
  <c r="I54" i="3" s="1"/>
  <c r="I73" i="3"/>
  <c r="K127" i="13"/>
  <c r="I155" i="3"/>
  <c r="AO60" i="12"/>
  <c r="AL99" i="12"/>
  <c r="AR38" i="12" s="1"/>
  <c r="I176" i="3"/>
  <c r="I144" i="3"/>
  <c r="I140" i="3"/>
  <c r="I134" i="3"/>
  <c r="AH85" i="12"/>
  <c r="AH86" i="12" s="1"/>
  <c r="AH84" i="12"/>
  <c r="AH83" i="12"/>
  <c r="F101" i="3"/>
  <c r="G77" i="3"/>
  <c r="I52" i="3" l="1"/>
  <c r="I124" i="3" s="1"/>
  <c r="I156" i="3" s="1"/>
  <c r="I171" i="3"/>
  <c r="I188" i="3"/>
  <c r="I166" i="3"/>
  <c r="M175" i="3"/>
  <c r="B176" i="3"/>
  <c r="C176" i="3"/>
  <c r="B177" i="3"/>
  <c r="C177" i="3"/>
  <c r="B178" i="3"/>
  <c r="C178" i="3"/>
  <c r="B179" i="3"/>
  <c r="C179" i="3"/>
  <c r="B181" i="3"/>
  <c r="C181" i="3"/>
  <c r="B182" i="3"/>
  <c r="C182" i="3"/>
  <c r="B183" i="3"/>
  <c r="C183" i="3"/>
  <c r="B184" i="3"/>
  <c r="C184" i="3"/>
  <c r="B185" i="3"/>
  <c r="C185" i="3"/>
  <c r="B186" i="3"/>
  <c r="C186" i="3"/>
  <c r="B188" i="3"/>
  <c r="C188" i="3"/>
  <c r="B189" i="3"/>
  <c r="C189" i="3"/>
  <c r="B190" i="3"/>
  <c r="C190" i="3"/>
  <c r="B191" i="3"/>
  <c r="A191" i="3"/>
  <c r="A190" i="3"/>
  <c r="A189" i="3"/>
  <c r="A188" i="3"/>
  <c r="A184" i="3"/>
  <c r="A185" i="3"/>
  <c r="A186" i="3"/>
  <c r="A183" i="3"/>
  <c r="A178" i="3"/>
  <c r="A179" i="3"/>
  <c r="A181" i="3"/>
  <c r="A182" i="3"/>
  <c r="A177" i="3"/>
  <c r="A176" i="3"/>
  <c r="J51" i="3" l="1"/>
  <c r="K51" i="3"/>
  <c r="I172" i="3"/>
  <c r="Q117" i="3"/>
  <c r="P117" i="3"/>
  <c r="Q112" i="3"/>
  <c r="P112" i="3"/>
  <c r="C123" i="3"/>
  <c r="C124" i="3"/>
  <c r="G101" i="3"/>
  <c r="G98" i="3" s="1"/>
  <c r="E101" i="3"/>
  <c r="D101" i="3"/>
  <c r="C98" i="3" l="1"/>
  <c r="D98" i="3"/>
  <c r="E98" i="3"/>
  <c r="F98" i="3"/>
  <c r="F45" i="3" l="1"/>
  <c r="G45" i="3"/>
  <c r="C24" i="2" s="1"/>
  <c r="D45" i="3"/>
  <c r="E45" i="3"/>
  <c r="C45" i="3"/>
  <c r="H45" i="3"/>
  <c r="D74" i="16"/>
  <c r="AN9" i="16" s="1"/>
  <c r="I92" i="3"/>
  <c r="C76" i="3"/>
  <c r="C77" i="3" s="1"/>
  <c r="D76" i="3"/>
  <c r="D77" i="3" s="1"/>
  <c r="E76" i="3"/>
  <c r="E77" i="3" s="1"/>
  <c r="F76" i="3"/>
  <c r="F77" i="3" s="1"/>
  <c r="H83" i="3"/>
  <c r="H81" i="3" s="1"/>
  <c r="G83" i="3"/>
  <c r="G81" i="3" s="1"/>
  <c r="F83" i="3"/>
  <c r="F81" i="3" s="1"/>
  <c r="E83" i="3"/>
  <c r="E81" i="3" s="1"/>
  <c r="D83" i="3"/>
  <c r="D81" i="3" s="1"/>
  <c r="C83" i="3"/>
  <c r="C81" i="3" s="1"/>
  <c r="N23" i="17"/>
  <c r="D42" i="17"/>
  <c r="D43" i="17" s="1"/>
  <c r="D55" i="3" s="1"/>
  <c r="E42" i="17"/>
  <c r="E43" i="17" s="1"/>
  <c r="E55" i="3" s="1"/>
  <c r="F42" i="17"/>
  <c r="F43" i="17" s="1"/>
  <c r="F55" i="3" s="1"/>
  <c r="G42" i="17"/>
  <c r="G43" i="17" s="1"/>
  <c r="G55" i="3" s="1"/>
  <c r="C55" i="3"/>
  <c r="I94" i="3" l="1"/>
  <c r="J94" i="3"/>
  <c r="J25" i="17"/>
  <c r="J26" i="17" s="1"/>
  <c r="J53" i="3" s="1"/>
  <c r="I25" i="17"/>
  <c r="I26" i="17" s="1"/>
  <c r="I53" i="3" s="1"/>
  <c r="C41" i="17"/>
  <c r="D15" i="17"/>
  <c r="D20" i="17" s="1"/>
  <c r="D33" i="17" s="1"/>
  <c r="E15" i="17"/>
  <c r="E20" i="17" s="1"/>
  <c r="E33" i="17" s="1"/>
  <c r="F15" i="17"/>
  <c r="F20" i="17" s="1"/>
  <c r="F33" i="17" s="1"/>
  <c r="G15" i="17"/>
  <c r="G20" i="17" s="1"/>
  <c r="G33" i="17" s="1"/>
  <c r="H15" i="17"/>
  <c r="H20" i="17" s="1"/>
  <c r="C15" i="17"/>
  <c r="C20" i="17" s="1"/>
  <c r="C33" i="17" s="1"/>
  <c r="J56" i="3" l="1"/>
  <c r="J46" i="17"/>
  <c r="I46" i="17"/>
  <c r="J125" i="3"/>
  <c r="AB125" i="3" s="1"/>
  <c r="H33" i="17"/>
  <c r="D41" i="17"/>
  <c r="E41" i="17"/>
  <c r="H41" i="17" s="1"/>
  <c r="F41" i="17"/>
  <c r="G41" i="17"/>
  <c r="J57" i="3" l="1"/>
  <c r="J157" i="3"/>
  <c r="AB157" i="3" s="1"/>
  <c r="I41" i="17"/>
  <c r="I40" i="17" s="1"/>
  <c r="I42" i="17" s="1"/>
  <c r="H40" i="17"/>
  <c r="H42" i="17" s="1"/>
  <c r="H43" i="17" s="1"/>
  <c r="H55" i="3" s="1"/>
  <c r="AG6" i="16"/>
  <c r="AG5" i="16"/>
  <c r="D22" i="16"/>
  <c r="AJ9" i="16" s="1"/>
  <c r="AH5" i="16" s="1"/>
  <c r="D48" i="16"/>
  <c r="H49" i="16"/>
  <c r="D61" i="16"/>
  <c r="J74" i="16"/>
  <c r="C74" i="16"/>
  <c r="H87" i="16" s="1"/>
  <c r="J73" i="16"/>
  <c r="H73" i="16"/>
  <c r="E73" i="16"/>
  <c r="I86" i="16" s="1"/>
  <c r="J72" i="16"/>
  <c r="H72" i="16"/>
  <c r="E72" i="16"/>
  <c r="I85" i="16" s="1"/>
  <c r="J71" i="16"/>
  <c r="H71" i="16"/>
  <c r="E71" i="16"/>
  <c r="I84" i="16" s="1"/>
  <c r="J70" i="16"/>
  <c r="H70" i="16"/>
  <c r="E70" i="16"/>
  <c r="I83" i="16" s="1"/>
  <c r="J69" i="16"/>
  <c r="H69" i="16"/>
  <c r="E69" i="16"/>
  <c r="I82" i="16" s="1"/>
  <c r="J68" i="16"/>
  <c r="H68" i="16"/>
  <c r="E68" i="16"/>
  <c r="I81" i="16" s="1"/>
  <c r="J67" i="16"/>
  <c r="H67" i="16"/>
  <c r="E67" i="16"/>
  <c r="I80" i="16" s="1"/>
  <c r="J66" i="16"/>
  <c r="H66" i="16"/>
  <c r="E66" i="16"/>
  <c r="I79" i="16" s="1"/>
  <c r="J65" i="16"/>
  <c r="H65" i="16"/>
  <c r="E65" i="16"/>
  <c r="I78" i="16" s="1"/>
  <c r="J64" i="16"/>
  <c r="H64" i="16"/>
  <c r="E64" i="16"/>
  <c r="I77" i="16" s="1"/>
  <c r="J63" i="16"/>
  <c r="H63" i="16"/>
  <c r="E63" i="16"/>
  <c r="I76" i="16" s="1"/>
  <c r="J62" i="16"/>
  <c r="H62" i="16"/>
  <c r="E62" i="16"/>
  <c r="I75" i="16" s="1"/>
  <c r="AP10" i="16" l="1"/>
  <c r="AP20" i="16" s="1"/>
  <c r="AQ10" i="16"/>
  <c r="AP12" i="16"/>
  <c r="AP11" i="16"/>
  <c r="AP27" i="16"/>
  <c r="I55" i="3"/>
  <c r="I56" i="3" s="1"/>
  <c r="E74" i="16"/>
  <c r="I87" i="16" s="1"/>
  <c r="AQ12" i="16" l="1"/>
  <c r="AQ11" i="16"/>
  <c r="AP21" i="16"/>
  <c r="AP28" i="16"/>
  <c r="AP22" i="16"/>
  <c r="AP29" i="16"/>
  <c r="AP13" i="16"/>
  <c r="AN10" i="16"/>
  <c r="AO10" i="16"/>
  <c r="I125" i="3"/>
  <c r="AM5" i="16"/>
  <c r="AL10" i="16"/>
  <c r="AM6" i="16"/>
  <c r="AI5" i="16"/>
  <c r="AQ13" i="16" l="1"/>
  <c r="AU12" i="16"/>
  <c r="AP23" i="16"/>
  <c r="AP30" i="16"/>
  <c r="AN12" i="16"/>
  <c r="AS13" i="16" s="1"/>
  <c r="AN11" i="16"/>
  <c r="AS11" i="16" s="1"/>
  <c r="AS12" i="16" s="1"/>
  <c r="AO12" i="16"/>
  <c r="AO11" i="16"/>
  <c r="AS9" i="16" s="1"/>
  <c r="AO20" i="16"/>
  <c r="AU14" i="16" s="1"/>
  <c r="AO27" i="16"/>
  <c r="I157" i="3"/>
  <c r="AL11" i="16"/>
  <c r="AL12" i="16"/>
  <c r="J43" i="3" l="1"/>
  <c r="J122" i="3" s="1"/>
  <c r="AN13" i="16"/>
  <c r="AO28" i="16"/>
  <c r="AO21" i="16"/>
  <c r="AO22" i="16"/>
  <c r="AO29" i="16"/>
  <c r="AO13" i="16"/>
  <c r="AU11" i="16" s="1"/>
  <c r="AL13" i="16"/>
  <c r="J154" i="3" l="1"/>
  <c r="AO30" i="16"/>
  <c r="AO23" i="16"/>
  <c r="AU13" i="16" s="1"/>
  <c r="P25" i="16"/>
  <c r="O25" i="16"/>
  <c r="N25" i="16"/>
  <c r="M24" i="16"/>
  <c r="M23" i="16"/>
  <c r="M25" i="16" s="1"/>
  <c r="Q13" i="17"/>
  <c r="P13" i="17"/>
  <c r="O13" i="17"/>
  <c r="Q12" i="17"/>
  <c r="P12" i="17"/>
  <c r="O12" i="17"/>
  <c r="I43" i="3" l="1"/>
  <c r="S26" i="16"/>
  <c r="S12" i="16"/>
  <c r="S11" i="16"/>
  <c r="I122" i="3" l="1"/>
  <c r="I57" i="3"/>
  <c r="I126" i="3" s="1"/>
  <c r="J61" i="16"/>
  <c r="C61" i="16"/>
  <c r="H74" i="16" s="1"/>
  <c r="J60" i="16"/>
  <c r="H60" i="16"/>
  <c r="E60" i="16"/>
  <c r="I73" i="16" s="1"/>
  <c r="J59" i="16"/>
  <c r="H59" i="16"/>
  <c r="E59" i="16"/>
  <c r="J58" i="16"/>
  <c r="H58" i="16"/>
  <c r="E58" i="16"/>
  <c r="I71" i="16" s="1"/>
  <c r="J57" i="16"/>
  <c r="H57" i="16"/>
  <c r="E57" i="16"/>
  <c r="I70" i="16" s="1"/>
  <c r="J56" i="16"/>
  <c r="H56" i="16"/>
  <c r="E56" i="16"/>
  <c r="I69" i="16" s="1"/>
  <c r="J55" i="16"/>
  <c r="H55" i="16"/>
  <c r="E55" i="16"/>
  <c r="S54" i="16"/>
  <c r="J54" i="16"/>
  <c r="H54" i="16"/>
  <c r="E54" i="16"/>
  <c r="I67" i="16" s="1"/>
  <c r="S53" i="16"/>
  <c r="J53" i="16"/>
  <c r="H53" i="16"/>
  <c r="E53" i="16"/>
  <c r="I66" i="16" s="1"/>
  <c r="S52" i="16"/>
  <c r="J52" i="16"/>
  <c r="H52" i="16"/>
  <c r="E52" i="16"/>
  <c r="I65" i="16" s="1"/>
  <c r="S51" i="16"/>
  <c r="J51" i="16"/>
  <c r="H51" i="16"/>
  <c r="E51" i="16"/>
  <c r="I64" i="16" s="1"/>
  <c r="S50" i="16"/>
  <c r="J50" i="16"/>
  <c r="H50" i="16"/>
  <c r="E50" i="16"/>
  <c r="I63" i="16" s="1"/>
  <c r="S49" i="16"/>
  <c r="J49" i="16"/>
  <c r="E49" i="16"/>
  <c r="I62" i="16" s="1"/>
  <c r="S48" i="16"/>
  <c r="J48" i="16"/>
  <c r="C48" i="16"/>
  <c r="S47" i="16"/>
  <c r="J47" i="16"/>
  <c r="H47" i="16"/>
  <c r="E47" i="16"/>
  <c r="S46" i="16"/>
  <c r="J46" i="16"/>
  <c r="H46" i="16"/>
  <c r="E46" i="16"/>
  <c r="S45" i="16"/>
  <c r="J45" i="16"/>
  <c r="H45" i="16"/>
  <c r="E45" i="16"/>
  <c r="S44" i="16"/>
  <c r="J44" i="16"/>
  <c r="H44" i="16"/>
  <c r="E44" i="16"/>
  <c r="S43" i="16"/>
  <c r="J43" i="16"/>
  <c r="H43" i="16"/>
  <c r="E43" i="16"/>
  <c r="S42" i="16"/>
  <c r="J42" i="16"/>
  <c r="H42" i="16"/>
  <c r="E42" i="16"/>
  <c r="E48" i="16" s="1"/>
  <c r="S41" i="16"/>
  <c r="J41" i="16"/>
  <c r="H41" i="16"/>
  <c r="E41" i="16"/>
  <c r="S40" i="16"/>
  <c r="J40" i="16"/>
  <c r="H40" i="16"/>
  <c r="E40" i="16"/>
  <c r="S39" i="16"/>
  <c r="J39" i="16"/>
  <c r="H39" i="16"/>
  <c r="E39" i="16"/>
  <c r="S38" i="16"/>
  <c r="J38" i="16"/>
  <c r="H38" i="16"/>
  <c r="E38" i="16"/>
  <c r="S37" i="16"/>
  <c r="H37" i="16"/>
  <c r="E37" i="16"/>
  <c r="S36" i="16"/>
  <c r="J36" i="16"/>
  <c r="H36" i="16"/>
  <c r="E36" i="16"/>
  <c r="S35" i="16"/>
  <c r="J35" i="16"/>
  <c r="C35" i="16"/>
  <c r="S34" i="16"/>
  <c r="J34" i="16"/>
  <c r="H34" i="16"/>
  <c r="E34" i="16"/>
  <c r="S33" i="16"/>
  <c r="J33" i="16"/>
  <c r="H33" i="16"/>
  <c r="E33" i="16"/>
  <c r="S32" i="16"/>
  <c r="J32" i="16"/>
  <c r="H32" i="16"/>
  <c r="E32" i="16"/>
  <c r="S31" i="16"/>
  <c r="J31" i="16"/>
  <c r="H31" i="16"/>
  <c r="E31" i="16"/>
  <c r="S30" i="16"/>
  <c r="J30" i="16"/>
  <c r="H30" i="16"/>
  <c r="E30" i="16"/>
  <c r="S29" i="16"/>
  <c r="J29" i="16"/>
  <c r="H29" i="16"/>
  <c r="E29" i="16"/>
  <c r="S28" i="16"/>
  <c r="J28" i="16"/>
  <c r="H28" i="16"/>
  <c r="E28" i="16"/>
  <c r="S27" i="16"/>
  <c r="J27" i="16"/>
  <c r="H27" i="16"/>
  <c r="J26" i="16"/>
  <c r="E26" i="16"/>
  <c r="S25" i="16"/>
  <c r="J25" i="16"/>
  <c r="H25" i="16"/>
  <c r="E25" i="16"/>
  <c r="S24" i="16"/>
  <c r="J24" i="16"/>
  <c r="H24" i="16"/>
  <c r="E24" i="16"/>
  <c r="S23" i="16"/>
  <c r="J23" i="16"/>
  <c r="H23" i="16"/>
  <c r="E23" i="16"/>
  <c r="S22" i="16"/>
  <c r="C22" i="16"/>
  <c r="S21" i="16"/>
  <c r="E21" i="16"/>
  <c r="S20" i="16"/>
  <c r="E20" i="16"/>
  <c r="S19" i="16"/>
  <c r="E19" i="16"/>
  <c r="S18" i="16"/>
  <c r="E18" i="16"/>
  <c r="S17" i="16"/>
  <c r="E17" i="16"/>
  <c r="E22" i="16" s="1"/>
  <c r="E16" i="16"/>
  <c r="S15" i="16"/>
  <c r="E15" i="16"/>
  <c r="S14" i="16"/>
  <c r="E14" i="16"/>
  <c r="S13" i="16"/>
  <c r="E13" i="16"/>
  <c r="E12" i="16"/>
  <c r="E11" i="16"/>
  <c r="E10" i="16"/>
  <c r="R9" i="16"/>
  <c r="R12" i="16" s="1"/>
  <c r="R13" i="16" s="1"/>
  <c r="R14" i="16" s="1"/>
  <c r="R15" i="16" s="1"/>
  <c r="R16" i="16" s="1"/>
  <c r="R17" i="16" s="1"/>
  <c r="R18" i="16" s="1"/>
  <c r="R19" i="16" s="1"/>
  <c r="R20" i="16" s="1"/>
  <c r="R21" i="16" s="1"/>
  <c r="R22" i="16" s="1"/>
  <c r="R23" i="16" s="1"/>
  <c r="R24" i="16" s="1"/>
  <c r="R25" i="16" s="1"/>
  <c r="R26" i="16" s="1"/>
  <c r="R27" i="16" s="1"/>
  <c r="R28" i="16" s="1"/>
  <c r="R29" i="16" s="1"/>
  <c r="R30" i="16" s="1"/>
  <c r="R31" i="16" s="1"/>
  <c r="R32" i="16" s="1"/>
  <c r="R33" i="16" s="1"/>
  <c r="R34" i="16" s="1"/>
  <c r="R35" i="16" s="1"/>
  <c r="R36" i="16" s="1"/>
  <c r="R37" i="16" s="1"/>
  <c r="R38" i="16" s="1"/>
  <c r="R39" i="16" s="1"/>
  <c r="R40" i="16" s="1"/>
  <c r="R41" i="16" s="1"/>
  <c r="R42" i="16" s="1"/>
  <c r="R43" i="16" s="1"/>
  <c r="R44" i="16" s="1"/>
  <c r="R45" i="16" s="1"/>
  <c r="R46" i="16" s="1"/>
  <c r="R47" i="16" s="1"/>
  <c r="R48" i="16" s="1"/>
  <c r="R49" i="16" s="1"/>
  <c r="R50" i="16" s="1"/>
  <c r="R51" i="16" s="1"/>
  <c r="R52" i="16" s="1"/>
  <c r="R53" i="16" s="1"/>
  <c r="R54" i="16" s="1"/>
  <c r="R55" i="16" s="1"/>
  <c r="S82" i="10"/>
  <c r="Y17" i="13"/>
  <c r="Y16" i="13"/>
  <c r="Y19" i="13"/>
  <c r="C79" i="13"/>
  <c r="C80" i="13"/>
  <c r="C81" i="13" s="1"/>
  <c r="D80" i="13"/>
  <c r="D79" i="13"/>
  <c r="E79" i="13" s="1"/>
  <c r="D62" i="13"/>
  <c r="D63" i="13"/>
  <c r="E63" i="13" s="1"/>
  <c r="C63" i="13"/>
  <c r="C62" i="13"/>
  <c r="D46" i="13"/>
  <c r="E46" i="13" s="1"/>
  <c r="D45" i="13"/>
  <c r="D47" i="13" s="1"/>
  <c r="I47" i="13" s="1"/>
  <c r="C46" i="13"/>
  <c r="C45" i="13"/>
  <c r="D28" i="13"/>
  <c r="D29" i="13"/>
  <c r="C29" i="13"/>
  <c r="C30" i="13" s="1"/>
  <c r="C28" i="13"/>
  <c r="C12" i="13"/>
  <c r="C11" i="13"/>
  <c r="C13" i="13" s="1"/>
  <c r="D12" i="13"/>
  <c r="E12" i="13" s="1"/>
  <c r="D11" i="13"/>
  <c r="E11" i="13" s="1"/>
  <c r="K88" i="13"/>
  <c r="H62" i="3"/>
  <c r="G62" i="3"/>
  <c r="F62" i="3"/>
  <c r="E62" i="3"/>
  <c r="D62" i="3"/>
  <c r="E61" i="3"/>
  <c r="F61" i="3"/>
  <c r="G61" i="3"/>
  <c r="H61" i="3"/>
  <c r="H60" i="3" s="1"/>
  <c r="D61" i="3"/>
  <c r="K92" i="13"/>
  <c r="K91" i="13"/>
  <c r="K90" i="13"/>
  <c r="K75" i="13"/>
  <c r="K74" i="13"/>
  <c r="K73" i="13"/>
  <c r="K58" i="13"/>
  <c r="K57" i="13"/>
  <c r="K56" i="13"/>
  <c r="E77" i="13"/>
  <c r="E92" i="13"/>
  <c r="E91" i="13"/>
  <c r="E90" i="13"/>
  <c r="E88" i="13"/>
  <c r="E87" i="13"/>
  <c r="F86" i="13"/>
  <c r="E86" i="13"/>
  <c r="E84" i="13"/>
  <c r="E83" i="13"/>
  <c r="E82" i="13"/>
  <c r="E78" i="13"/>
  <c r="E75" i="13"/>
  <c r="E74" i="13"/>
  <c r="E73" i="13"/>
  <c r="E71" i="13"/>
  <c r="E70" i="13"/>
  <c r="F69" i="13"/>
  <c r="E69" i="13"/>
  <c r="E67" i="13"/>
  <c r="E66" i="13"/>
  <c r="E65" i="13"/>
  <c r="E62" i="13"/>
  <c r="E61" i="13"/>
  <c r="E60" i="13"/>
  <c r="E58" i="13"/>
  <c r="E57" i="13"/>
  <c r="E56" i="13"/>
  <c r="E54" i="13"/>
  <c r="E53" i="13"/>
  <c r="F52" i="13"/>
  <c r="G52" i="13" s="1"/>
  <c r="E52" i="13"/>
  <c r="E50" i="13"/>
  <c r="E49" i="13"/>
  <c r="E48" i="13"/>
  <c r="E44" i="13"/>
  <c r="E43" i="13"/>
  <c r="E24" i="13"/>
  <c r="E23" i="13"/>
  <c r="E22" i="13"/>
  <c r="E20" i="13"/>
  <c r="E19" i="13"/>
  <c r="F18" i="13"/>
  <c r="E18" i="13"/>
  <c r="E16" i="13"/>
  <c r="E15" i="13"/>
  <c r="E14" i="13"/>
  <c r="E10" i="13"/>
  <c r="E9" i="13"/>
  <c r="K41" i="13"/>
  <c r="K40" i="13"/>
  <c r="K39" i="13"/>
  <c r="Y40" i="13"/>
  <c r="E41" i="13"/>
  <c r="E40" i="13"/>
  <c r="E39" i="13"/>
  <c r="E37" i="13"/>
  <c r="E36" i="13"/>
  <c r="F35" i="13"/>
  <c r="E35" i="13"/>
  <c r="E33" i="13"/>
  <c r="E32" i="13"/>
  <c r="E31" i="13"/>
  <c r="E27" i="13"/>
  <c r="E26" i="13"/>
  <c r="E28" i="13"/>
  <c r="P50" i="13"/>
  <c r="P49" i="13"/>
  <c r="D68" i="13"/>
  <c r="C68" i="13"/>
  <c r="D51" i="13"/>
  <c r="C51" i="13"/>
  <c r="D34" i="13"/>
  <c r="C34" i="13"/>
  <c r="D17" i="13"/>
  <c r="C17" i="13"/>
  <c r="D85" i="13"/>
  <c r="C85" i="13"/>
  <c r="D89" i="13"/>
  <c r="K106" i="13" s="1"/>
  <c r="C89" i="13"/>
  <c r="C93" i="13" s="1"/>
  <c r="D72" i="13"/>
  <c r="C72" i="13"/>
  <c r="C76" i="13" s="1"/>
  <c r="D55" i="13"/>
  <c r="C55" i="13"/>
  <c r="C59" i="13" s="1"/>
  <c r="D38" i="13"/>
  <c r="C38" i="13"/>
  <c r="C21" i="13"/>
  <c r="D21" i="13"/>
  <c r="B93" i="13"/>
  <c r="B76" i="13"/>
  <c r="B59" i="13"/>
  <c r="IZ23" i="15"/>
  <c r="IR35" i="15"/>
  <c r="IQ35" i="15"/>
  <c r="IT35" i="15" s="1"/>
  <c r="IP35" i="15"/>
  <c r="IR34" i="15"/>
  <c r="IQ34" i="15"/>
  <c r="IT34" i="15" s="1"/>
  <c r="IP34" i="15"/>
  <c r="IR33" i="15"/>
  <c r="IQ33" i="15"/>
  <c r="IT33" i="15" s="1"/>
  <c r="IP33" i="15"/>
  <c r="IR32" i="15"/>
  <c r="IQ32" i="15"/>
  <c r="IT32" i="15" s="1"/>
  <c r="IP32" i="15"/>
  <c r="IR31" i="15"/>
  <c r="IQ31" i="15"/>
  <c r="IT31" i="15" s="1"/>
  <c r="IP31" i="15"/>
  <c r="IR30" i="15"/>
  <c r="IQ30" i="15"/>
  <c r="IT30" i="15" s="1"/>
  <c r="IP30" i="15"/>
  <c r="IQ29" i="15"/>
  <c r="JO28" i="15"/>
  <c r="JN28" i="15"/>
  <c r="JH28" i="15"/>
  <c r="IZ28" i="15"/>
  <c r="IX28" i="15"/>
  <c r="IW28" i="15"/>
  <c r="JO27" i="15"/>
  <c r="JN27" i="15"/>
  <c r="JH27" i="15"/>
  <c r="JC27" i="15"/>
  <c r="IZ27" i="15"/>
  <c r="IX27" i="15"/>
  <c r="IW27" i="15"/>
  <c r="JO26" i="15"/>
  <c r="JN26" i="15"/>
  <c r="JH26" i="15"/>
  <c r="JJ26" i="15" s="1"/>
  <c r="JL26" i="15" s="1"/>
  <c r="IZ26" i="15"/>
  <c r="IX26" i="15"/>
  <c r="IW26" i="15"/>
  <c r="JO25" i="15"/>
  <c r="JN25" i="15"/>
  <c r="JH25" i="15"/>
  <c r="JJ25" i="15" s="1"/>
  <c r="JL25" i="15" s="1"/>
  <c r="JC25" i="15"/>
  <c r="IZ25" i="15"/>
  <c r="IX25" i="15"/>
  <c r="IW25" i="15"/>
  <c r="JO24" i="15"/>
  <c r="JN24" i="15"/>
  <c r="JH24" i="15"/>
  <c r="JJ24" i="15" s="1"/>
  <c r="JL24" i="15" s="1"/>
  <c r="IZ24" i="15"/>
  <c r="IX24" i="15"/>
  <c r="IW24" i="15"/>
  <c r="JO23" i="15"/>
  <c r="JN23" i="15"/>
  <c r="JH23" i="15"/>
  <c r="JJ23" i="15" s="1"/>
  <c r="JL23" i="15" s="1"/>
  <c r="IX23" i="15"/>
  <c r="IW23" i="15"/>
  <c r="JO22" i="15"/>
  <c r="JN22" i="15"/>
  <c r="JH22" i="15"/>
  <c r="JJ22" i="15" s="1"/>
  <c r="JL22" i="15" s="1"/>
  <c r="IZ22" i="15"/>
  <c r="JO21" i="15"/>
  <c r="JN21" i="15"/>
  <c r="JH21" i="15"/>
  <c r="IZ21" i="15"/>
  <c r="IX21" i="15"/>
  <c r="IW21" i="15"/>
  <c r="JO20" i="15"/>
  <c r="JN20" i="15"/>
  <c r="JH20" i="15"/>
  <c r="JJ20" i="15" s="1"/>
  <c r="JL20" i="15" s="1"/>
  <c r="IZ20" i="15"/>
  <c r="IX20" i="15"/>
  <c r="IW20" i="15"/>
  <c r="JO19" i="15"/>
  <c r="JN19" i="15"/>
  <c r="JH19" i="15"/>
  <c r="JJ19" i="15" s="1"/>
  <c r="JL19" i="15" s="1"/>
  <c r="IZ19" i="15"/>
  <c r="IX19" i="15"/>
  <c r="IW19" i="15"/>
  <c r="JO18" i="15"/>
  <c r="JN18" i="15"/>
  <c r="JH18" i="15"/>
  <c r="IZ18" i="15"/>
  <c r="IX18" i="15"/>
  <c r="IW18" i="15"/>
  <c r="JO17" i="15"/>
  <c r="JN17" i="15"/>
  <c r="JH17" i="15"/>
  <c r="JJ17" i="15" s="1"/>
  <c r="JL17" i="15" s="1"/>
  <c r="IZ17" i="15"/>
  <c r="IX17" i="15"/>
  <c r="IW17" i="15"/>
  <c r="JO16" i="15"/>
  <c r="JN16" i="15"/>
  <c r="JH16" i="15"/>
  <c r="IZ16" i="15"/>
  <c r="IX16" i="15"/>
  <c r="IW16" i="15"/>
  <c r="JO15" i="15"/>
  <c r="JN15" i="15"/>
  <c r="JH15" i="15"/>
  <c r="JJ15" i="15" s="1"/>
  <c r="JL15" i="15" s="1"/>
  <c r="IZ15" i="15"/>
  <c r="IV15" i="15"/>
  <c r="JO14" i="15"/>
  <c r="JN14" i="15"/>
  <c r="JH14" i="15"/>
  <c r="IZ14" i="15"/>
  <c r="IX14" i="15"/>
  <c r="IW14" i="15"/>
  <c r="JO13" i="15"/>
  <c r="JN13" i="15"/>
  <c r="JH13" i="15"/>
  <c r="JJ13" i="15" s="1"/>
  <c r="JL13" i="15" s="1"/>
  <c r="IZ13" i="15"/>
  <c r="IX13" i="15"/>
  <c r="IW13" i="15"/>
  <c r="JO12" i="15"/>
  <c r="JN12" i="15"/>
  <c r="JH12" i="15"/>
  <c r="IZ12" i="15"/>
  <c r="IX12" i="15"/>
  <c r="IW12" i="15"/>
  <c r="JO11" i="15"/>
  <c r="JN11" i="15"/>
  <c r="JH11" i="15"/>
  <c r="IZ11" i="15"/>
  <c r="IX11" i="15"/>
  <c r="IW11" i="15"/>
  <c r="IZ10" i="15"/>
  <c r="IX10" i="15"/>
  <c r="IW10" i="15"/>
  <c r="IZ9" i="15"/>
  <c r="IX9" i="15"/>
  <c r="IW9" i="15"/>
  <c r="HJ26" i="15"/>
  <c r="HJ24" i="15"/>
  <c r="HJ25" i="15"/>
  <c r="HJ27" i="15"/>
  <c r="HJ28" i="15"/>
  <c r="HJ23" i="15"/>
  <c r="HH23" i="15"/>
  <c r="HG23" i="15"/>
  <c r="AE20" i="10"/>
  <c r="FS30" i="15"/>
  <c r="HJ9" i="15"/>
  <c r="HY28" i="15"/>
  <c r="HX28" i="15"/>
  <c r="HR28" i="15"/>
  <c r="HY27" i="15"/>
  <c r="HX27" i="15"/>
  <c r="HR27" i="15"/>
  <c r="HT27" i="15" s="1"/>
  <c r="HV27" i="15" s="1"/>
  <c r="HM27" i="15"/>
  <c r="HY26" i="15"/>
  <c r="HX26" i="15"/>
  <c r="HR26" i="15"/>
  <c r="HT26" i="15" s="1"/>
  <c r="HV26" i="15" s="1"/>
  <c r="HY25" i="15"/>
  <c r="HX25" i="15"/>
  <c r="HR25" i="15"/>
  <c r="HM25" i="15"/>
  <c r="HY24" i="15"/>
  <c r="HX24" i="15"/>
  <c r="HR24" i="15"/>
  <c r="HT24" i="15" s="1"/>
  <c r="HV24" i="15" s="1"/>
  <c r="HY23" i="15"/>
  <c r="HX23" i="15"/>
  <c r="HR23" i="15"/>
  <c r="HT23" i="15" s="1"/>
  <c r="HV23" i="15" s="1"/>
  <c r="HY22" i="15"/>
  <c r="HX22" i="15"/>
  <c r="HR22" i="15"/>
  <c r="HJ22" i="15"/>
  <c r="HY21" i="15"/>
  <c r="HX21" i="15"/>
  <c r="HR21" i="15"/>
  <c r="HJ21" i="15"/>
  <c r="HY20" i="15"/>
  <c r="HX20" i="15"/>
  <c r="HR20" i="15"/>
  <c r="HT20" i="15" s="1"/>
  <c r="HV20" i="15" s="1"/>
  <c r="HJ20" i="15"/>
  <c r="HY19" i="15"/>
  <c r="HX19" i="15"/>
  <c r="HR19" i="15"/>
  <c r="HT19" i="15" s="1"/>
  <c r="HV19" i="15" s="1"/>
  <c r="HJ19" i="15"/>
  <c r="HY18" i="15"/>
  <c r="HX18" i="15"/>
  <c r="HR18" i="15"/>
  <c r="HT18" i="15" s="1"/>
  <c r="HV18" i="15" s="1"/>
  <c r="HJ18" i="15"/>
  <c r="HY17" i="15"/>
  <c r="HX17" i="15"/>
  <c r="HR17" i="15"/>
  <c r="HJ17" i="15"/>
  <c r="HY16" i="15"/>
  <c r="HX16" i="15"/>
  <c r="HR16" i="15"/>
  <c r="HT16" i="15" s="1"/>
  <c r="HV16" i="15" s="1"/>
  <c r="HJ16" i="15"/>
  <c r="HY15" i="15"/>
  <c r="HX15" i="15"/>
  <c r="HR15" i="15"/>
  <c r="HT15" i="15" s="1"/>
  <c r="HV15" i="15" s="1"/>
  <c r="HJ15" i="15"/>
  <c r="HY14" i="15"/>
  <c r="HX14" i="15"/>
  <c r="HR14" i="15"/>
  <c r="HT14" i="15" s="1"/>
  <c r="HV14" i="15" s="1"/>
  <c r="HJ14" i="15"/>
  <c r="HY13" i="15"/>
  <c r="HX13" i="15"/>
  <c r="HR13" i="15"/>
  <c r="HJ13" i="15"/>
  <c r="HY12" i="15"/>
  <c r="HX12" i="15"/>
  <c r="HR12" i="15"/>
  <c r="HT12" i="15" s="1"/>
  <c r="HV12" i="15" s="1"/>
  <c r="HJ12" i="15"/>
  <c r="HY11" i="15"/>
  <c r="HX11" i="15"/>
  <c r="HR11" i="15"/>
  <c r="HT11" i="15" s="1"/>
  <c r="HV11" i="15" s="1"/>
  <c r="HJ11" i="15"/>
  <c r="HJ10" i="15"/>
  <c r="HH9" i="15"/>
  <c r="HG26" i="15"/>
  <c r="HG25" i="15"/>
  <c r="HG24" i="15"/>
  <c r="HG27" i="15"/>
  <c r="HG28" i="15"/>
  <c r="HH24" i="15"/>
  <c r="HH25" i="15"/>
  <c r="HH26" i="15"/>
  <c r="HH27" i="15"/>
  <c r="HH28" i="15"/>
  <c r="HG9" i="15"/>
  <c r="HB35" i="15"/>
  <c r="HA35" i="15"/>
  <c r="HD35" i="15" s="1"/>
  <c r="GZ35" i="15"/>
  <c r="HB34" i="15"/>
  <c r="HA34" i="15"/>
  <c r="HD34" i="15" s="1"/>
  <c r="GZ34" i="15"/>
  <c r="HB33" i="15"/>
  <c r="HA33" i="15"/>
  <c r="HD33" i="15" s="1"/>
  <c r="GZ33" i="15"/>
  <c r="HB32" i="15"/>
  <c r="HA32" i="15"/>
  <c r="HD32" i="15" s="1"/>
  <c r="GZ32" i="15"/>
  <c r="HB31" i="15"/>
  <c r="HA31" i="15"/>
  <c r="HD31" i="15" s="1"/>
  <c r="GZ31" i="15"/>
  <c r="HB30" i="15"/>
  <c r="HA30" i="15"/>
  <c r="HD30" i="15" s="1"/>
  <c r="GZ30" i="15"/>
  <c r="HA29" i="15"/>
  <c r="HF28" i="15" s="1"/>
  <c r="HH21" i="15"/>
  <c r="HG21" i="15"/>
  <c r="HH20" i="15"/>
  <c r="HG20" i="15"/>
  <c r="HH19" i="15"/>
  <c r="HG19" i="15"/>
  <c r="HH18" i="15"/>
  <c r="HG18" i="15"/>
  <c r="HH17" i="15"/>
  <c r="HG17" i="15"/>
  <c r="HH16" i="15"/>
  <c r="HG16" i="15"/>
  <c r="HF15" i="15"/>
  <c r="HH14" i="15"/>
  <c r="HG14" i="15"/>
  <c r="HH13" i="15"/>
  <c r="HG13" i="15"/>
  <c r="HH12" i="15"/>
  <c r="HG12" i="15"/>
  <c r="HH11" i="15"/>
  <c r="HG11" i="15"/>
  <c r="HH10" i="15"/>
  <c r="HG10" i="15"/>
  <c r="V25" i="15"/>
  <c r="S18" i="15"/>
  <c r="T18" i="15" s="1"/>
  <c r="P26" i="15"/>
  <c r="Y26" i="15" s="1"/>
  <c r="P25" i="15"/>
  <c r="Y24" i="15" s="1"/>
  <c r="P23" i="15"/>
  <c r="D192" i="15"/>
  <c r="J192" i="15" s="1"/>
  <c r="E192" i="15"/>
  <c r="L192" i="15" s="1"/>
  <c r="F192" i="15"/>
  <c r="M192" i="15" s="1"/>
  <c r="P24" i="15" s="1"/>
  <c r="G192" i="15"/>
  <c r="C192" i="15"/>
  <c r="I192" i="15" s="1"/>
  <c r="N179" i="15"/>
  <c r="P22" i="15"/>
  <c r="P21" i="15"/>
  <c r="P20" i="15"/>
  <c r="P19" i="15"/>
  <c r="Q19" i="15" s="1"/>
  <c r="R18" i="15"/>
  <c r="W25" i="15" l="1"/>
  <c r="X25" i="15" s="1"/>
  <c r="AB13" i="15"/>
  <c r="I50" i="16"/>
  <c r="Y23" i="15"/>
  <c r="Z24" i="15"/>
  <c r="AA24" i="15" s="1"/>
  <c r="AB24" i="15" s="1"/>
  <c r="Z26" i="15"/>
  <c r="AA26" i="15" s="1"/>
  <c r="AB26" i="15" s="1"/>
  <c r="Y27" i="15"/>
  <c r="T14" i="15"/>
  <c r="C64" i="13"/>
  <c r="G86" i="13"/>
  <c r="F84" i="13"/>
  <c r="G84" i="13" s="1"/>
  <c r="F135" i="13"/>
  <c r="G135" i="13" s="1"/>
  <c r="F118" i="13"/>
  <c r="G118" i="13" s="1"/>
  <c r="F101" i="13"/>
  <c r="G101" i="13" s="1"/>
  <c r="K85" i="13"/>
  <c r="K102" i="13"/>
  <c r="G18" i="13"/>
  <c r="E72" i="13"/>
  <c r="E85" i="13"/>
  <c r="F137" i="13"/>
  <c r="F120" i="13"/>
  <c r="F103" i="13"/>
  <c r="F134" i="13"/>
  <c r="G134" i="13" s="1"/>
  <c r="F117" i="13"/>
  <c r="G117" i="13" s="1"/>
  <c r="F100" i="13"/>
  <c r="G100" i="13" s="1"/>
  <c r="I60" i="16"/>
  <c r="I29" i="16"/>
  <c r="U18" i="15"/>
  <c r="S33" i="15" s="1"/>
  <c r="R33" i="15" s="1"/>
  <c r="T33" i="15"/>
  <c r="U33" i="15" s="1"/>
  <c r="I33" i="16"/>
  <c r="I183" i="3"/>
  <c r="I153" i="3"/>
  <c r="I154" i="3"/>
  <c r="I52" i="16"/>
  <c r="E17" i="13"/>
  <c r="K68" i="13"/>
  <c r="D13" i="13"/>
  <c r="I13" i="13" s="1"/>
  <c r="I17" i="13" s="1"/>
  <c r="I21" i="13" s="1"/>
  <c r="I22" i="13" s="1"/>
  <c r="I23" i="13" s="1"/>
  <c r="I24" i="13" s="1"/>
  <c r="C47" i="13"/>
  <c r="H128" i="3"/>
  <c r="H185" i="3" s="1"/>
  <c r="F16" i="13"/>
  <c r="G16" i="13" s="1"/>
  <c r="F33" i="13"/>
  <c r="K55" i="13"/>
  <c r="F50" i="13"/>
  <c r="G50" i="13" s="1"/>
  <c r="IV25" i="15"/>
  <c r="I51" i="13"/>
  <c r="I55" i="13" s="1"/>
  <c r="I56" i="13" s="1"/>
  <c r="F67" i="13"/>
  <c r="G67" i="13" s="1"/>
  <c r="K34" i="13"/>
  <c r="I27" i="16"/>
  <c r="I31" i="16"/>
  <c r="E51" i="13"/>
  <c r="D81" i="13"/>
  <c r="V26" i="15"/>
  <c r="V27" i="15" s="1"/>
  <c r="K72" i="13"/>
  <c r="K38" i="13"/>
  <c r="K89" i="13"/>
  <c r="K51" i="13"/>
  <c r="D30" i="13"/>
  <c r="I30" i="13" s="1"/>
  <c r="I34" i="13" s="1"/>
  <c r="I38" i="13" s="1"/>
  <c r="I39" i="13" s="1"/>
  <c r="I40" i="13" s="1"/>
  <c r="I41" i="13" s="1"/>
  <c r="D64" i="13"/>
  <c r="I64" i="13" s="1"/>
  <c r="I68" i="13" s="1"/>
  <c r="I72" i="13" s="1"/>
  <c r="I40" i="16"/>
  <c r="I42" i="16"/>
  <c r="E45" i="13"/>
  <c r="E47" i="13" s="1"/>
  <c r="E89" i="13"/>
  <c r="F60" i="3"/>
  <c r="F128" i="3" s="1"/>
  <c r="F185" i="3" s="1"/>
  <c r="I25" i="16"/>
  <c r="H48" i="16"/>
  <c r="I23" i="16"/>
  <c r="I59" i="16"/>
  <c r="I72" i="16"/>
  <c r="E61" i="16"/>
  <c r="I74" i="16" s="1"/>
  <c r="I68" i="16"/>
  <c r="H35" i="16"/>
  <c r="I36" i="16"/>
  <c r="I38" i="16"/>
  <c r="H61" i="16"/>
  <c r="E35" i="16"/>
  <c r="I35" i="16" s="1"/>
  <c r="I43" i="16"/>
  <c r="I44" i="16"/>
  <c r="I46" i="16"/>
  <c r="I57" i="16"/>
  <c r="I45" i="16"/>
  <c r="I24" i="16"/>
  <c r="I26" i="16"/>
  <c r="I28" i="16"/>
  <c r="I30" i="16"/>
  <c r="I32" i="16"/>
  <c r="I34" i="16"/>
  <c r="I41" i="16"/>
  <c r="I49" i="16"/>
  <c r="I51" i="16"/>
  <c r="I53" i="16"/>
  <c r="I55" i="16"/>
  <c r="I54" i="16"/>
  <c r="I56" i="16"/>
  <c r="I58" i="16"/>
  <c r="I37" i="16"/>
  <c r="I39" i="16"/>
  <c r="I47" i="16"/>
  <c r="K64" i="13"/>
  <c r="E29" i="13"/>
  <c r="E30" i="13" s="1"/>
  <c r="G35" i="13"/>
  <c r="G69" i="13"/>
  <c r="L69" i="13" s="1"/>
  <c r="G33" i="13"/>
  <c r="E21" i="13"/>
  <c r="E68" i="13"/>
  <c r="E55" i="13"/>
  <c r="D60" i="3"/>
  <c r="D128" i="3" s="1"/>
  <c r="D185" i="3" s="1"/>
  <c r="E60" i="3"/>
  <c r="E128" i="3" s="1"/>
  <c r="E185" i="3" s="1"/>
  <c r="G60" i="3"/>
  <c r="E80" i="13"/>
  <c r="E81" i="13" s="1"/>
  <c r="K47" i="13"/>
  <c r="E64" i="13"/>
  <c r="E13" i="13"/>
  <c r="E34" i="13"/>
  <c r="E38" i="13"/>
  <c r="HJ34" i="15"/>
  <c r="HJ31" i="15"/>
  <c r="V24" i="15"/>
  <c r="V23" i="15" s="1"/>
  <c r="HJ32" i="15"/>
  <c r="HJ33" i="15"/>
  <c r="K192" i="15"/>
  <c r="IV24" i="15"/>
  <c r="HF23" i="15"/>
  <c r="HF26" i="15"/>
  <c r="IV28" i="15"/>
  <c r="IV27" i="15"/>
  <c r="IV26" i="15"/>
  <c r="IV23" i="15"/>
  <c r="HF27" i="15"/>
  <c r="HJ29" i="15"/>
  <c r="HF25" i="15"/>
  <c r="HJ37" i="15"/>
  <c r="IZ33" i="15"/>
  <c r="HF24" i="15"/>
  <c r="HJ30" i="15"/>
  <c r="JJ16" i="15"/>
  <c r="JL16" i="15" s="1"/>
  <c r="IZ32" i="15"/>
  <c r="JJ11" i="15"/>
  <c r="JL11" i="15" s="1"/>
  <c r="JJ14" i="15"/>
  <c r="JL14" i="15" s="1"/>
  <c r="JJ12" i="15"/>
  <c r="JL12" i="15" s="1"/>
  <c r="JJ18" i="15"/>
  <c r="JL18" i="15" s="1"/>
  <c r="JJ27" i="15"/>
  <c r="JL27" i="15" s="1"/>
  <c r="IZ30" i="15"/>
  <c r="IZ37" i="15"/>
  <c r="IZ29" i="15"/>
  <c r="IZ31" i="15"/>
  <c r="JJ21" i="15"/>
  <c r="JL21" i="15" s="1"/>
  <c r="JJ28" i="15"/>
  <c r="JL28" i="15" s="1"/>
  <c r="IZ34" i="15"/>
  <c r="HT21" i="15"/>
  <c r="HV21" i="15" s="1"/>
  <c r="HT25" i="15"/>
  <c r="HV25" i="15" s="1"/>
  <c r="HT13" i="15"/>
  <c r="HV13" i="15" s="1"/>
  <c r="HT17" i="15"/>
  <c r="HV17" i="15" s="1"/>
  <c r="HT28" i="15"/>
  <c r="HV28" i="15" s="1"/>
  <c r="HT22" i="15"/>
  <c r="HV22" i="15" s="1"/>
  <c r="R19" i="15"/>
  <c r="Q20" i="15"/>
  <c r="S19" i="15"/>
  <c r="T19" i="15" s="1"/>
  <c r="G128" i="3" l="1"/>
  <c r="C32" i="2"/>
  <c r="Y28" i="15"/>
  <c r="Z27" i="15"/>
  <c r="AA27" i="15" s="1"/>
  <c r="AB27" i="15" s="1"/>
  <c r="Y22" i="15"/>
  <c r="Z23" i="15"/>
  <c r="AA23" i="15" s="1"/>
  <c r="AB23" i="15" s="1"/>
  <c r="L135" i="13"/>
  <c r="E25" i="13"/>
  <c r="L35" i="13"/>
  <c r="L134" i="13"/>
  <c r="G103" i="13"/>
  <c r="L103" i="13" s="1"/>
  <c r="G120" i="13"/>
  <c r="L120" i="13" s="1"/>
  <c r="I81" i="13"/>
  <c r="I85" i="13" s="1"/>
  <c r="I89" i="13" s="1"/>
  <c r="I90" i="13" s="1"/>
  <c r="I91" i="13" s="1"/>
  <c r="I92" i="13" s="1"/>
  <c r="K98" i="13"/>
  <c r="G137" i="13"/>
  <c r="L101" i="13"/>
  <c r="L117" i="13"/>
  <c r="K30" i="13"/>
  <c r="L118" i="13"/>
  <c r="HP18" i="15"/>
  <c r="II18" i="15" s="1"/>
  <c r="HP14" i="15"/>
  <c r="HP16" i="15"/>
  <c r="II16" i="15" s="1"/>
  <c r="HP15" i="15"/>
  <c r="II15" i="15" s="1"/>
  <c r="HP17" i="15"/>
  <c r="II17" i="15" s="1"/>
  <c r="U19" i="15"/>
  <c r="S34" i="15" s="1"/>
  <c r="R34" i="15" s="1"/>
  <c r="T34" i="15"/>
  <c r="U34" i="15" s="1"/>
  <c r="W27" i="15"/>
  <c r="X27" i="15" s="1"/>
  <c r="V28" i="15"/>
  <c r="W26" i="15"/>
  <c r="X26" i="15" s="1"/>
  <c r="L86" i="13"/>
  <c r="E93" i="13"/>
  <c r="L33" i="13"/>
  <c r="E59" i="13"/>
  <c r="K81" i="13"/>
  <c r="E76" i="13"/>
  <c r="E42" i="13"/>
  <c r="I48" i="16"/>
  <c r="I61" i="16"/>
  <c r="L67" i="13"/>
  <c r="L50" i="13"/>
  <c r="L52" i="13"/>
  <c r="L84" i="13"/>
  <c r="I73" i="13"/>
  <c r="I57" i="13"/>
  <c r="I25" i="13"/>
  <c r="W24" i="15"/>
  <c r="X24" i="15" s="1"/>
  <c r="JF18" i="15" s="1"/>
  <c r="JP18" i="15" s="1"/>
  <c r="HJ36" i="15"/>
  <c r="V22" i="15"/>
  <c r="W23" i="15"/>
  <c r="X23" i="15" s="1"/>
  <c r="IZ36" i="15"/>
  <c r="Q21" i="15"/>
  <c r="S20" i="15"/>
  <c r="T20" i="15" s="1"/>
  <c r="R20" i="15"/>
  <c r="IF15" i="15" l="1"/>
  <c r="IG15" i="15" s="1"/>
  <c r="G185" i="3"/>
  <c r="M128" i="3"/>
  <c r="M185" i="3" s="1"/>
  <c r="HZ18" i="15"/>
  <c r="IA18" i="15" s="1"/>
  <c r="Y21" i="15"/>
  <c r="Z22" i="15"/>
  <c r="AA22" i="15" s="1"/>
  <c r="AB22" i="15" s="1"/>
  <c r="Y29" i="15"/>
  <c r="Z29" i="15" s="1"/>
  <c r="AA29" i="15" s="1"/>
  <c r="AB29" i="15" s="1"/>
  <c r="BT44" i="15" s="1"/>
  <c r="Z28" i="15"/>
  <c r="AA28" i="15" s="1"/>
  <c r="AB28" i="15" s="1"/>
  <c r="IF18" i="15"/>
  <c r="IG18" i="15" s="1"/>
  <c r="L137" i="13"/>
  <c r="HZ15" i="15"/>
  <c r="IC15" i="15" s="1"/>
  <c r="IF16" i="15"/>
  <c r="IG16" i="15" s="1"/>
  <c r="HZ16" i="15"/>
  <c r="IA16" i="15" s="1"/>
  <c r="IF17" i="15"/>
  <c r="IG17" i="15" s="1"/>
  <c r="HZ17" i="15"/>
  <c r="IB17" i="15" s="1"/>
  <c r="W28" i="15"/>
  <c r="X28" i="15" s="1"/>
  <c r="V29" i="15"/>
  <c r="W29" i="15" s="1"/>
  <c r="X29" i="15" s="1"/>
  <c r="BT9" i="15" s="1"/>
  <c r="U20" i="15"/>
  <c r="S35" i="15" s="1"/>
  <c r="R35" i="15" s="1"/>
  <c r="T35" i="15"/>
  <c r="U35" i="15" s="1"/>
  <c r="EI16" i="15"/>
  <c r="JF17" i="15"/>
  <c r="JY17" i="15" s="1"/>
  <c r="JF16" i="15"/>
  <c r="JP16" i="15" s="1"/>
  <c r="JQ16" i="15" s="1"/>
  <c r="KG9" i="15"/>
  <c r="JF15" i="15"/>
  <c r="JY15" i="15" s="1"/>
  <c r="JF14" i="15"/>
  <c r="JY14" i="15" s="1"/>
  <c r="I93" i="13"/>
  <c r="K110" i="13" s="1"/>
  <c r="I74" i="13"/>
  <c r="I58" i="13"/>
  <c r="I59" i="13" s="1"/>
  <c r="JS18" i="15"/>
  <c r="JR18" i="15"/>
  <c r="JQ18" i="15"/>
  <c r="IB18" i="15"/>
  <c r="IC18" i="15"/>
  <c r="HK14" i="15"/>
  <c r="HK28" i="15"/>
  <c r="JA17" i="15"/>
  <c r="JE20" i="15" s="1"/>
  <c r="JF20" i="15" s="1"/>
  <c r="JA25" i="15"/>
  <c r="HK31" i="15"/>
  <c r="HK20" i="15"/>
  <c r="HO26" i="15" s="1"/>
  <c r="HP26" i="15" s="1"/>
  <c r="JA19" i="15"/>
  <c r="JE22" i="15" s="1"/>
  <c r="JF22" i="15" s="1"/>
  <c r="HK27" i="15"/>
  <c r="JA26" i="15"/>
  <c r="JA16" i="15"/>
  <c r="JE12" i="15" s="1"/>
  <c r="JF12" i="15" s="1"/>
  <c r="HK19" i="15"/>
  <c r="HO22" i="15" s="1"/>
  <c r="HP22" i="15" s="1"/>
  <c r="HK22" i="15"/>
  <c r="HK10" i="15"/>
  <c r="HK24" i="15"/>
  <c r="JA23" i="15"/>
  <c r="JE13" i="15" s="1"/>
  <c r="JF13" i="15" s="1"/>
  <c r="HK25" i="15"/>
  <c r="HK16" i="15"/>
  <c r="HO12" i="15" s="1"/>
  <c r="HP12" i="15" s="1"/>
  <c r="JA21" i="15"/>
  <c r="JE28" i="15" s="1"/>
  <c r="JA10" i="15"/>
  <c r="JE19" i="15" s="1"/>
  <c r="JF19" i="15" s="1"/>
  <c r="JA12" i="15"/>
  <c r="JE21" i="15" s="1"/>
  <c r="HK15" i="15"/>
  <c r="HK18" i="15"/>
  <c r="HO24" i="15" s="1"/>
  <c r="HP24" i="15" s="1"/>
  <c r="HK17" i="15"/>
  <c r="HO20" i="15" s="1"/>
  <c r="HP20" i="15" s="1"/>
  <c r="JA14" i="15"/>
  <c r="HK23" i="15"/>
  <c r="HO13" i="15" s="1"/>
  <c r="HP13" i="15" s="1"/>
  <c r="JA22" i="15"/>
  <c r="HK12" i="15"/>
  <c r="HO21" i="15" s="1"/>
  <c r="HP21" i="15" s="1"/>
  <c r="JA18" i="15"/>
  <c r="JE24" i="15" s="1"/>
  <c r="JF24" i="15" s="1"/>
  <c r="JA15" i="15"/>
  <c r="JA11" i="15"/>
  <c r="JE23" i="15" s="1"/>
  <c r="JF23" i="15" s="1"/>
  <c r="HK9" i="15"/>
  <c r="HO11" i="15" s="1"/>
  <c r="HP11" i="15" s="1"/>
  <c r="HK13" i="15"/>
  <c r="HK34" i="15"/>
  <c r="HK32" i="15"/>
  <c r="HK21" i="15"/>
  <c r="HO28" i="15" s="1"/>
  <c r="JA28" i="15"/>
  <c r="JA27" i="15"/>
  <c r="JA20" i="15"/>
  <c r="JE26" i="15" s="1"/>
  <c r="JF26" i="15" s="1"/>
  <c r="JA24" i="15"/>
  <c r="JA13" i="15"/>
  <c r="JA9" i="15"/>
  <c r="JE11" i="15" s="1"/>
  <c r="HK26" i="15"/>
  <c r="HK11" i="15"/>
  <c r="HO23" i="15" s="1"/>
  <c r="HP23" i="15" s="1"/>
  <c r="HK33" i="15"/>
  <c r="JY18" i="15"/>
  <c r="JV18" i="15"/>
  <c r="JW18" i="15" s="1"/>
  <c r="JA32" i="15"/>
  <c r="V21" i="15"/>
  <c r="W22" i="15"/>
  <c r="X22" i="15" s="1"/>
  <c r="JA30" i="15"/>
  <c r="JA31" i="15"/>
  <c r="JA29" i="15"/>
  <c r="JA33" i="15"/>
  <c r="HK30" i="15"/>
  <c r="HK29" i="15"/>
  <c r="JA34" i="15"/>
  <c r="II14" i="15"/>
  <c r="HZ14" i="15"/>
  <c r="IF14" i="15"/>
  <c r="IG14" i="15" s="1"/>
  <c r="R21" i="15"/>
  <c r="Q22" i="15"/>
  <c r="S21" i="15"/>
  <c r="T21" i="15" s="1"/>
  <c r="DN9" i="15" l="1"/>
  <c r="AW63" i="15"/>
  <c r="AW48" i="15"/>
  <c r="AW54" i="15"/>
  <c r="AW60" i="15"/>
  <c r="AW61" i="15"/>
  <c r="AW49" i="15"/>
  <c r="AW47" i="15"/>
  <c r="AW46" i="15"/>
  <c r="AW53" i="15"/>
  <c r="AW59" i="15"/>
  <c r="AW55" i="15"/>
  <c r="AW52" i="15"/>
  <c r="AW51" i="15"/>
  <c r="AW62" i="15"/>
  <c r="AW50" i="15"/>
  <c r="AW58" i="15"/>
  <c r="AW57" i="15"/>
  <c r="AW56" i="15"/>
  <c r="AW11" i="15"/>
  <c r="BG11" i="15" s="1"/>
  <c r="Y20" i="15"/>
  <c r="Z21" i="15"/>
  <c r="AA21" i="15" s="1"/>
  <c r="AB21" i="15" s="1"/>
  <c r="AW17" i="15"/>
  <c r="AW29" i="15"/>
  <c r="AW12" i="15"/>
  <c r="BM12" i="15" s="1"/>
  <c r="AW20" i="15"/>
  <c r="AW24" i="15"/>
  <c r="BM11" i="15"/>
  <c r="AW15" i="15"/>
  <c r="AW28" i="15"/>
  <c r="AW26" i="15"/>
  <c r="AW22" i="15"/>
  <c r="AW23" i="15"/>
  <c r="AW13" i="15"/>
  <c r="BG13" i="15" s="1"/>
  <c r="AW21" i="15"/>
  <c r="AW18" i="15"/>
  <c r="AW16" i="15"/>
  <c r="AW25" i="15"/>
  <c r="AW27" i="15"/>
  <c r="AW19" i="15"/>
  <c r="IB15" i="15"/>
  <c r="IA17" i="15"/>
  <c r="IC17" i="15"/>
  <c r="IA15" i="15"/>
  <c r="IC16" i="15"/>
  <c r="IB16" i="15"/>
  <c r="JY16" i="15"/>
  <c r="JP14" i="15"/>
  <c r="JQ14" i="15" s="1"/>
  <c r="U21" i="15"/>
  <c r="S36" i="15" s="1"/>
  <c r="R36" i="15" s="1"/>
  <c r="T36" i="15"/>
  <c r="U36" i="15" s="1"/>
  <c r="JV16" i="15"/>
  <c r="JW16" i="15" s="1"/>
  <c r="JS16" i="15"/>
  <c r="JV17" i="15"/>
  <c r="JW17" i="15" s="1"/>
  <c r="JV15" i="15"/>
  <c r="JW15" i="15" s="1"/>
  <c r="JP15" i="15"/>
  <c r="JS15" i="15" s="1"/>
  <c r="FB16" i="15"/>
  <c r="EY16" i="15"/>
  <c r="EZ16" i="15" s="1"/>
  <c r="ES16" i="15"/>
  <c r="JP17" i="15"/>
  <c r="JR17" i="15" s="1"/>
  <c r="JR16" i="15"/>
  <c r="JV14" i="15"/>
  <c r="JW14" i="15" s="1"/>
  <c r="KL9" i="15"/>
  <c r="I75" i="13"/>
  <c r="IB14" i="15"/>
  <c r="IA14" i="15"/>
  <c r="IC14" i="15"/>
  <c r="V20" i="15"/>
  <c r="W21" i="15"/>
  <c r="X21" i="15" s="1"/>
  <c r="JP23" i="15"/>
  <c r="JV23" i="15"/>
  <c r="JW23" i="15" s="1"/>
  <c r="JY23" i="15"/>
  <c r="JY12" i="15"/>
  <c r="JV12" i="15"/>
  <c r="JW12" i="15" s="1"/>
  <c r="JP12" i="15"/>
  <c r="HO19" i="15"/>
  <c r="HP19" i="15" s="1"/>
  <c r="JE27" i="15"/>
  <c r="JE25" i="15"/>
  <c r="HO25" i="15"/>
  <c r="HP25" i="15" s="1"/>
  <c r="HO27" i="15"/>
  <c r="JP24" i="15"/>
  <c r="JY24" i="15"/>
  <c r="JV24" i="15"/>
  <c r="JW24" i="15" s="1"/>
  <c r="JF21" i="15"/>
  <c r="JV26" i="15"/>
  <c r="JW26" i="15" s="1"/>
  <c r="JP26" i="15"/>
  <c r="JY26" i="15"/>
  <c r="II24" i="15"/>
  <c r="IF24" i="15"/>
  <c r="IG24" i="15" s="1"/>
  <c r="HZ24" i="15"/>
  <c r="JF28" i="15"/>
  <c r="JY28" i="15" s="1"/>
  <c r="IF26" i="15"/>
  <c r="IG26" i="15" s="1"/>
  <c r="HZ26" i="15"/>
  <c r="II26" i="15"/>
  <c r="JF11" i="15"/>
  <c r="II13" i="15"/>
  <c r="HZ13" i="15"/>
  <c r="IF13" i="15"/>
  <c r="IG13" i="15" s="1"/>
  <c r="II12" i="15"/>
  <c r="IF12" i="15"/>
  <c r="IG12" i="15" s="1"/>
  <c r="HZ12" i="15"/>
  <c r="IF23" i="15"/>
  <c r="IG23" i="15" s="1"/>
  <c r="II23" i="15"/>
  <c r="HZ23" i="15"/>
  <c r="HP28" i="15"/>
  <c r="II28" i="15" s="1"/>
  <c r="IF11" i="15"/>
  <c r="IG11" i="15" s="1"/>
  <c r="II11" i="15"/>
  <c r="HZ11" i="15"/>
  <c r="II21" i="15"/>
  <c r="HZ21" i="15"/>
  <c r="IF21" i="15"/>
  <c r="IG21" i="15" s="1"/>
  <c r="IF20" i="15"/>
  <c r="IG20" i="15" s="1"/>
  <c r="II20" i="15"/>
  <c r="HZ20" i="15"/>
  <c r="JP19" i="15"/>
  <c r="JY19" i="15"/>
  <c r="JV19" i="15"/>
  <c r="JW19" i="15" s="1"/>
  <c r="JV13" i="15"/>
  <c r="JW13" i="15" s="1"/>
  <c r="JP13" i="15"/>
  <c r="JY13" i="15"/>
  <c r="II22" i="15"/>
  <c r="IF22" i="15"/>
  <c r="IG22" i="15" s="1"/>
  <c r="HZ22" i="15"/>
  <c r="JV22" i="15"/>
  <c r="JW22" i="15" s="1"/>
  <c r="JP22" i="15"/>
  <c r="JY22" i="15"/>
  <c r="JV20" i="15"/>
  <c r="JW20" i="15" s="1"/>
  <c r="JP20" i="15"/>
  <c r="JY20" i="15"/>
  <c r="Q23" i="15"/>
  <c r="S22" i="15"/>
  <c r="T22" i="15" s="1"/>
  <c r="R22" i="15"/>
  <c r="BI11" i="15" l="1"/>
  <c r="BJ11" i="15"/>
  <c r="BH11" i="15"/>
  <c r="BI13" i="15"/>
  <c r="BJ13" i="15"/>
  <c r="BH13" i="15"/>
  <c r="BP49" i="15"/>
  <c r="BG49" i="15"/>
  <c r="BM49" i="15"/>
  <c r="BN49" i="15" s="1"/>
  <c r="BU48" i="15" s="1"/>
  <c r="BP63" i="15"/>
  <c r="BG63" i="15"/>
  <c r="BM63" i="15"/>
  <c r="BN63" i="15" s="1"/>
  <c r="BP53" i="15"/>
  <c r="BM53" i="15"/>
  <c r="BN53" i="15" s="1"/>
  <c r="BG53" i="15"/>
  <c r="BP58" i="15"/>
  <c r="BG58" i="15"/>
  <c r="BM58" i="15"/>
  <c r="BN58" i="15" s="1"/>
  <c r="BU51" i="15" s="1"/>
  <c r="BP54" i="15"/>
  <c r="BG54" i="15"/>
  <c r="BM54" i="15"/>
  <c r="BN54" i="15" s="1"/>
  <c r="BP56" i="15"/>
  <c r="BM56" i="15"/>
  <c r="BN56" i="15" s="1"/>
  <c r="BU50" i="15" s="1"/>
  <c r="BG56" i="15"/>
  <c r="Y19" i="15"/>
  <c r="Z20" i="15"/>
  <c r="AA20" i="15" s="1"/>
  <c r="AB20" i="15" s="1"/>
  <c r="BP55" i="15"/>
  <c r="BM55" i="15"/>
  <c r="BN55" i="15" s="1"/>
  <c r="BG55" i="15"/>
  <c r="BP61" i="15"/>
  <c r="BM61" i="15"/>
  <c r="BN61" i="15" s="1"/>
  <c r="BG61" i="15"/>
  <c r="BP57" i="15"/>
  <c r="BM57" i="15"/>
  <c r="BN57" i="15" s="1"/>
  <c r="BG57" i="15"/>
  <c r="BP62" i="15"/>
  <c r="BM62" i="15"/>
  <c r="BN62" i="15" s="1"/>
  <c r="BG62" i="15"/>
  <c r="BP59" i="15"/>
  <c r="BM59" i="15"/>
  <c r="BN59" i="15" s="1"/>
  <c r="BG59" i="15"/>
  <c r="BP47" i="15"/>
  <c r="BM47" i="15"/>
  <c r="BN47" i="15" s="1"/>
  <c r="BG47" i="15"/>
  <c r="BP51" i="15"/>
  <c r="BG51" i="15"/>
  <c r="BM51" i="15"/>
  <c r="BN51" i="15" s="1"/>
  <c r="BP52" i="15"/>
  <c r="BM52" i="15"/>
  <c r="BN52" i="15" s="1"/>
  <c r="BG52" i="15"/>
  <c r="BP48" i="15"/>
  <c r="BM48" i="15"/>
  <c r="BN48" i="15" s="1"/>
  <c r="BG48" i="15"/>
  <c r="BP50" i="15"/>
  <c r="BM50" i="15"/>
  <c r="BN50" i="15" s="1"/>
  <c r="BG50" i="15"/>
  <c r="BP46" i="15"/>
  <c r="BM46" i="15"/>
  <c r="BG46" i="15"/>
  <c r="BP60" i="15"/>
  <c r="BG60" i="15"/>
  <c r="BM60" i="15"/>
  <c r="BN60" i="15" s="1"/>
  <c r="BG14" i="15"/>
  <c r="BM14" i="15"/>
  <c r="BN14" i="15" s="1"/>
  <c r="BP14" i="15"/>
  <c r="CR21" i="15"/>
  <c r="DB21" i="15" s="1"/>
  <c r="CR19" i="15"/>
  <c r="DB19" i="15" s="1"/>
  <c r="BP11" i="15"/>
  <c r="CR27" i="15"/>
  <c r="DB27" i="15" s="1"/>
  <c r="CR24" i="15"/>
  <c r="DB24" i="15" s="1"/>
  <c r="CR18" i="15"/>
  <c r="DB18" i="15" s="1"/>
  <c r="BP21" i="15"/>
  <c r="CR28" i="15"/>
  <c r="DB28" i="15" s="1"/>
  <c r="BP15" i="15"/>
  <c r="CR15" i="15"/>
  <c r="DB15" i="15" s="1"/>
  <c r="CR23" i="15"/>
  <c r="DB23" i="15" s="1"/>
  <c r="BP26" i="15"/>
  <c r="BM23" i="15"/>
  <c r="BN23" i="15" s="1"/>
  <c r="BP25" i="15"/>
  <c r="CR25" i="15"/>
  <c r="DB25" i="15" s="1"/>
  <c r="DB35" i="15" s="1"/>
  <c r="CR16" i="15"/>
  <c r="DB16" i="15" s="1"/>
  <c r="CR26" i="15"/>
  <c r="DB26" i="15" s="1"/>
  <c r="CR17" i="15"/>
  <c r="DB17" i="15" s="1"/>
  <c r="BP27" i="15"/>
  <c r="BP13" i="15"/>
  <c r="BG17" i="15"/>
  <c r="BG18" i="15"/>
  <c r="CR22" i="15"/>
  <c r="DB22" i="15" s="1"/>
  <c r="DC22" i="15" s="1"/>
  <c r="CR20" i="15"/>
  <c r="DB20" i="15" s="1"/>
  <c r="BG16" i="15"/>
  <c r="BP28" i="15"/>
  <c r="CR12" i="15"/>
  <c r="DB12" i="15" s="1"/>
  <c r="CR13" i="15"/>
  <c r="DB13" i="15" s="1"/>
  <c r="BP24" i="15"/>
  <c r="BP29" i="15"/>
  <c r="CR11" i="15"/>
  <c r="DB11" i="15" s="1"/>
  <c r="DD11" i="15" s="1"/>
  <c r="CR14" i="15"/>
  <c r="DB14" i="15" s="1"/>
  <c r="DE14" i="15" s="1"/>
  <c r="BP22" i="15"/>
  <c r="BM22" i="15"/>
  <c r="BN22" i="15" s="1"/>
  <c r="BG22" i="15"/>
  <c r="BP12" i="15"/>
  <c r="BN12" i="15"/>
  <c r="BG12" i="15"/>
  <c r="BP19" i="15"/>
  <c r="BM19" i="15"/>
  <c r="BN19" i="15" s="1"/>
  <c r="BG19" i="15"/>
  <c r="BP20" i="15"/>
  <c r="BM20" i="15"/>
  <c r="BN20" i="15" s="1"/>
  <c r="BG20" i="15"/>
  <c r="BG15" i="15"/>
  <c r="BM28" i="15"/>
  <c r="BN28" i="15" s="1"/>
  <c r="DE21" i="15"/>
  <c r="JS14" i="15"/>
  <c r="JR14" i="15"/>
  <c r="U22" i="15"/>
  <c r="S37" i="15" s="1"/>
  <c r="R37" i="15" s="1"/>
  <c r="T37" i="15"/>
  <c r="U37" i="15" s="1"/>
  <c r="JR15" i="15"/>
  <c r="EU16" i="15"/>
  <c r="EV16" i="15"/>
  <c r="ET16" i="15"/>
  <c r="JQ15" i="15"/>
  <c r="JQ17" i="15"/>
  <c r="JS17" i="15"/>
  <c r="IN16" i="15"/>
  <c r="IN13" i="15"/>
  <c r="IN21" i="15" s="1"/>
  <c r="IM16" i="15"/>
  <c r="I76" i="13"/>
  <c r="JS12" i="15"/>
  <c r="JQ12" i="15"/>
  <c r="JR12" i="15"/>
  <c r="JS22" i="15"/>
  <c r="JR22" i="15"/>
  <c r="JQ22" i="15"/>
  <c r="JS26" i="15"/>
  <c r="JR26" i="15"/>
  <c r="JQ26" i="15"/>
  <c r="JQ23" i="15"/>
  <c r="JR23" i="15"/>
  <c r="JS23" i="15"/>
  <c r="JS20" i="15"/>
  <c r="JQ20" i="15"/>
  <c r="JR20" i="15"/>
  <c r="JS24" i="15"/>
  <c r="JQ24" i="15"/>
  <c r="JR24" i="15"/>
  <c r="JR13" i="15"/>
  <c r="JS13" i="15"/>
  <c r="JQ13" i="15"/>
  <c r="JQ19" i="15"/>
  <c r="JR19" i="15"/>
  <c r="JS19" i="15"/>
  <c r="IA22" i="15"/>
  <c r="IB22" i="15"/>
  <c r="IC22" i="15"/>
  <c r="IA20" i="15"/>
  <c r="IC20" i="15"/>
  <c r="IB20" i="15"/>
  <c r="IB21" i="15"/>
  <c r="IC21" i="15"/>
  <c r="IA21" i="15"/>
  <c r="IA12" i="15"/>
  <c r="IC12" i="15"/>
  <c r="IB12" i="15"/>
  <c r="IB13" i="15"/>
  <c r="IC13" i="15"/>
  <c r="IA13" i="15"/>
  <c r="IB26" i="15"/>
  <c r="IA26" i="15"/>
  <c r="IC26" i="15"/>
  <c r="IA24" i="15"/>
  <c r="IB24" i="15"/>
  <c r="IC24" i="15"/>
  <c r="IB11" i="15"/>
  <c r="IC11" i="15"/>
  <c r="IA11" i="15"/>
  <c r="IB23" i="15"/>
  <c r="IC23" i="15"/>
  <c r="IA23" i="15"/>
  <c r="IM15" i="15"/>
  <c r="KC16" i="15"/>
  <c r="KH16" i="15" s="1"/>
  <c r="KM16" i="15" s="1"/>
  <c r="KD14" i="15"/>
  <c r="KI14" i="15" s="1"/>
  <c r="KN14" i="15" s="1"/>
  <c r="IM13" i="15"/>
  <c r="IM21" i="15" s="1"/>
  <c r="JP21" i="15"/>
  <c r="JV21" i="15"/>
  <c r="JW21" i="15" s="1"/>
  <c r="KC15" i="15" s="1"/>
  <c r="KH15" i="15" s="1"/>
  <c r="KM15" i="15" s="1"/>
  <c r="JF27" i="15"/>
  <c r="JY21" i="15"/>
  <c r="JV11" i="15"/>
  <c r="JP11" i="15"/>
  <c r="II25" i="15"/>
  <c r="IN17" i="15" s="1"/>
  <c r="HZ25" i="15"/>
  <c r="IF25" i="15"/>
  <c r="IG25" i="15" s="1"/>
  <c r="IM17" i="15" s="1"/>
  <c r="IF19" i="15"/>
  <c r="IG19" i="15" s="1"/>
  <c r="IM14" i="15" s="1"/>
  <c r="II19" i="15"/>
  <c r="IN14" i="15" s="1"/>
  <c r="HP27" i="15"/>
  <c r="KC14" i="15"/>
  <c r="IN15" i="15"/>
  <c r="HZ28" i="15"/>
  <c r="IF28" i="15"/>
  <c r="IG28" i="15" s="1"/>
  <c r="JY11" i="15"/>
  <c r="KD13" i="15" s="1"/>
  <c r="KI13" i="15" s="1"/>
  <c r="KN13" i="15" s="1"/>
  <c r="KN21" i="15" s="1"/>
  <c r="JV28" i="15"/>
  <c r="JW28" i="15" s="1"/>
  <c r="JP28" i="15"/>
  <c r="JF25" i="15"/>
  <c r="HZ19" i="15"/>
  <c r="KD16" i="15"/>
  <c r="KI16" i="15" s="1"/>
  <c r="KN16" i="15" s="1"/>
  <c r="V19" i="15"/>
  <c r="W20" i="15"/>
  <c r="X20" i="15" s="1"/>
  <c r="R23" i="15"/>
  <c r="Q24" i="15"/>
  <c r="S23" i="15"/>
  <c r="T23" i="15" s="1"/>
  <c r="BV53" i="15" l="1"/>
  <c r="BV52" i="15"/>
  <c r="BV51" i="15"/>
  <c r="BV50" i="15"/>
  <c r="BV49" i="15"/>
  <c r="BV48" i="15"/>
  <c r="BU53" i="15"/>
  <c r="BH19" i="15"/>
  <c r="BJ19" i="15"/>
  <c r="BI19" i="15"/>
  <c r="BH16" i="15"/>
  <c r="BJ16" i="15"/>
  <c r="BI16" i="15"/>
  <c r="DK56" i="15"/>
  <c r="DB56" i="15"/>
  <c r="DH56" i="15"/>
  <c r="DI56" i="15" s="1"/>
  <c r="DK50" i="15"/>
  <c r="DH50" i="15"/>
  <c r="DI50" i="15" s="1"/>
  <c r="DB50" i="15"/>
  <c r="DK49" i="15"/>
  <c r="DH49" i="15"/>
  <c r="DI49" i="15" s="1"/>
  <c r="DB49" i="15"/>
  <c r="DK48" i="15"/>
  <c r="DH48" i="15"/>
  <c r="DI48" i="15" s="1"/>
  <c r="DB48" i="15"/>
  <c r="DK51" i="15"/>
  <c r="DH51" i="15"/>
  <c r="DI51" i="15" s="1"/>
  <c r="DB51" i="15"/>
  <c r="DK53" i="15"/>
  <c r="DB53" i="15"/>
  <c r="DH53" i="15"/>
  <c r="DI53" i="15" s="1"/>
  <c r="BI12" i="15"/>
  <c r="BH12" i="15"/>
  <c r="BJ12" i="15"/>
  <c r="BH18" i="15"/>
  <c r="BJ18" i="15"/>
  <c r="BI18" i="15"/>
  <c r="DK61" i="15"/>
  <c r="DH61" i="15"/>
  <c r="DI61" i="15" s="1"/>
  <c r="DB61" i="15"/>
  <c r="DK52" i="15"/>
  <c r="DH52" i="15"/>
  <c r="DI52" i="15" s="1"/>
  <c r="DB52" i="15"/>
  <c r="BH15" i="15"/>
  <c r="BJ15" i="15"/>
  <c r="BI15" i="15"/>
  <c r="BJ17" i="15"/>
  <c r="BH17" i="15"/>
  <c r="BI17" i="15"/>
  <c r="BJ14" i="15"/>
  <c r="BH14" i="15"/>
  <c r="BI14" i="15"/>
  <c r="DK46" i="15"/>
  <c r="DH46" i="15"/>
  <c r="DI46" i="15" s="1"/>
  <c r="DB46" i="15"/>
  <c r="DK60" i="15"/>
  <c r="DB60" i="15"/>
  <c r="DH60" i="15"/>
  <c r="DI60" i="15" s="1"/>
  <c r="BI20" i="15"/>
  <c r="BJ20" i="15"/>
  <c r="BH20" i="15"/>
  <c r="DK54" i="15"/>
  <c r="DH54" i="15"/>
  <c r="DI54" i="15" s="1"/>
  <c r="DB54" i="15"/>
  <c r="DK45" i="15"/>
  <c r="DH45" i="15"/>
  <c r="DI45" i="15" s="1"/>
  <c r="DB45" i="15"/>
  <c r="DK55" i="15"/>
  <c r="DH55" i="15"/>
  <c r="DI55" i="15" s="1"/>
  <c r="DB55" i="15"/>
  <c r="BJ22" i="15"/>
  <c r="BH22" i="15"/>
  <c r="BK22" i="15" s="1"/>
  <c r="BI22" i="15"/>
  <c r="DK57" i="15"/>
  <c r="DH57" i="15"/>
  <c r="DI57" i="15" s="1"/>
  <c r="DB57" i="15"/>
  <c r="DK58" i="15"/>
  <c r="DB58" i="15"/>
  <c r="DH58" i="15"/>
  <c r="DI58" i="15" s="1"/>
  <c r="DK59" i="15"/>
  <c r="DH59" i="15"/>
  <c r="DI59" i="15" s="1"/>
  <c r="DB59" i="15"/>
  <c r="DC25" i="15"/>
  <c r="DK47" i="15"/>
  <c r="DB47" i="15"/>
  <c r="DH47" i="15"/>
  <c r="DI47" i="15" s="1"/>
  <c r="DK44" i="15"/>
  <c r="DB44" i="15"/>
  <c r="DD44" i="15" s="1"/>
  <c r="DH44" i="15"/>
  <c r="BJ50" i="15"/>
  <c r="BI50" i="15"/>
  <c r="BH50" i="15"/>
  <c r="BK50" i="15" s="1"/>
  <c r="BH52" i="15"/>
  <c r="BI52" i="15"/>
  <c r="BJ52" i="15"/>
  <c r="BH51" i="15"/>
  <c r="BI51" i="15"/>
  <c r="BJ51" i="15"/>
  <c r="BH48" i="15"/>
  <c r="BI48" i="15"/>
  <c r="BJ48" i="15"/>
  <c r="BH49" i="15"/>
  <c r="BI49" i="15"/>
  <c r="BJ49" i="15"/>
  <c r="BJ47" i="15"/>
  <c r="BH47" i="15"/>
  <c r="BI47" i="15"/>
  <c r="BI53" i="15"/>
  <c r="BJ53" i="15"/>
  <c r="BH53" i="15"/>
  <c r="BH63" i="15"/>
  <c r="BI63" i="15"/>
  <c r="BJ63" i="15"/>
  <c r="BI62" i="15"/>
  <c r="BJ62" i="15"/>
  <c r="BH62" i="15"/>
  <c r="BI61" i="15"/>
  <c r="BJ61" i="15"/>
  <c r="BH61" i="15"/>
  <c r="BJ60" i="15"/>
  <c r="BI60" i="15"/>
  <c r="BH60" i="15"/>
  <c r="BI59" i="15"/>
  <c r="BH59" i="15"/>
  <c r="BJ59" i="15"/>
  <c r="BJ58" i="15"/>
  <c r="BH58" i="15"/>
  <c r="BI58" i="15"/>
  <c r="BI46" i="15"/>
  <c r="BJ46" i="15"/>
  <c r="BH46" i="15"/>
  <c r="BH57" i="15"/>
  <c r="BI57" i="15"/>
  <c r="BJ57" i="15"/>
  <c r="BJ56" i="15"/>
  <c r="BH56" i="15"/>
  <c r="BI56" i="15"/>
  <c r="BI55" i="15"/>
  <c r="BJ55" i="15"/>
  <c r="BH55" i="15"/>
  <c r="BK55" i="15" s="1"/>
  <c r="BJ54" i="15"/>
  <c r="BH54" i="15"/>
  <c r="BI54" i="15"/>
  <c r="Y18" i="15"/>
  <c r="Z18" i="15" s="1"/>
  <c r="AA18" i="15" s="1"/>
  <c r="AB18" i="15" s="1"/>
  <c r="Z19" i="15"/>
  <c r="AA19" i="15" s="1"/>
  <c r="AB19" i="15" s="1"/>
  <c r="BG66" i="15"/>
  <c r="BM66" i="15"/>
  <c r="BN46" i="15"/>
  <c r="BP66" i="15"/>
  <c r="BU57" i="15"/>
  <c r="DD21" i="15"/>
  <c r="DC21" i="15"/>
  <c r="DF21" i="15" s="1"/>
  <c r="DB36" i="15"/>
  <c r="DC26" i="15"/>
  <c r="DC36" i="15" s="1"/>
  <c r="DE15" i="15"/>
  <c r="DC20" i="15"/>
  <c r="DE28" i="15"/>
  <c r="DD16" i="15"/>
  <c r="DC28" i="15"/>
  <c r="DE20" i="15"/>
  <c r="DD25" i="15"/>
  <c r="DD35" i="15" s="1"/>
  <c r="DD20" i="15"/>
  <c r="DC14" i="15"/>
  <c r="DE22" i="15"/>
  <c r="DC11" i="15"/>
  <c r="DE16" i="15"/>
  <c r="DE11" i="15"/>
  <c r="DD14" i="15"/>
  <c r="DD28" i="15"/>
  <c r="DC16" i="15"/>
  <c r="DD22" i="15"/>
  <c r="DK16" i="15"/>
  <c r="DE25" i="15"/>
  <c r="DE35" i="15" s="1"/>
  <c r="DE23" i="15"/>
  <c r="DE19" i="15"/>
  <c r="DD23" i="15"/>
  <c r="DD19" i="15"/>
  <c r="DE17" i="15"/>
  <c r="DC19" i="15"/>
  <c r="DD17" i="15"/>
  <c r="DC17" i="15"/>
  <c r="BG28" i="15"/>
  <c r="DD15" i="15"/>
  <c r="DC15" i="15"/>
  <c r="BP16" i="15"/>
  <c r="DD18" i="15"/>
  <c r="DE13" i="15"/>
  <c r="DD26" i="15"/>
  <c r="DD36" i="15" s="1"/>
  <c r="BM15" i="15"/>
  <c r="BN15" i="15" s="1"/>
  <c r="DE26" i="15"/>
  <c r="DE36" i="15" s="1"/>
  <c r="DE24" i="15"/>
  <c r="DB33" i="15"/>
  <c r="DB37" i="15"/>
  <c r="DD12" i="15"/>
  <c r="BM17" i="15"/>
  <c r="BN17" i="15" s="1"/>
  <c r="DC18" i="15"/>
  <c r="DC27" i="15"/>
  <c r="DC12" i="15"/>
  <c r="BP17" i="15"/>
  <c r="DE18" i="15"/>
  <c r="DE27" i="15"/>
  <c r="DB34" i="15"/>
  <c r="BM27" i="15"/>
  <c r="BN27" i="15" s="1"/>
  <c r="BM16" i="15"/>
  <c r="BN16" i="15" s="1"/>
  <c r="DB38" i="15"/>
  <c r="DD27" i="15"/>
  <c r="DC23" i="15"/>
  <c r="BG24" i="15"/>
  <c r="BM13" i="15"/>
  <c r="BN13" i="15" s="1"/>
  <c r="BG34" i="15"/>
  <c r="DD13" i="15"/>
  <c r="DC24" i="15"/>
  <c r="DC13" i="15"/>
  <c r="DD24" i="15"/>
  <c r="DB30" i="15"/>
  <c r="BG27" i="15"/>
  <c r="BG23" i="15"/>
  <c r="BM26" i="15"/>
  <c r="BN26" i="15" s="1"/>
  <c r="DE12" i="15"/>
  <c r="BP23" i="15"/>
  <c r="BV15" i="15" s="1"/>
  <c r="BG29" i="15"/>
  <c r="BV16" i="15"/>
  <c r="BM29" i="15"/>
  <c r="BN29" i="15" s="1"/>
  <c r="BU18" i="15" s="1"/>
  <c r="BG25" i="15"/>
  <c r="BM25" i="15"/>
  <c r="BN25" i="15" s="1"/>
  <c r="BM18" i="15"/>
  <c r="BN18" i="15" s="1"/>
  <c r="BP18" i="15"/>
  <c r="BG21" i="15"/>
  <c r="BM21" i="15"/>
  <c r="BN21" i="15" s="1"/>
  <c r="BU14" i="15" s="1"/>
  <c r="BM24" i="15"/>
  <c r="BN24" i="15" s="1"/>
  <c r="DH16" i="15"/>
  <c r="DI16" i="15" s="1"/>
  <c r="BG26" i="15"/>
  <c r="BV18" i="15"/>
  <c r="BU15" i="15"/>
  <c r="BV17" i="15"/>
  <c r="BV14" i="15"/>
  <c r="DC35" i="15"/>
  <c r="IN22" i="15"/>
  <c r="IM22" i="15"/>
  <c r="U23" i="15"/>
  <c r="S38" i="15" s="1"/>
  <c r="R38" i="15" s="1"/>
  <c r="T38" i="15"/>
  <c r="U38" i="15" s="1"/>
  <c r="EW16" i="15"/>
  <c r="KC22" i="15"/>
  <c r="KH14" i="15"/>
  <c r="KM14" i="15" s="1"/>
  <c r="KM22" i="15" s="1"/>
  <c r="KN22" i="15"/>
  <c r="K93" i="13"/>
  <c r="K76" i="13"/>
  <c r="JR11" i="15"/>
  <c r="JS11" i="15"/>
  <c r="JQ11" i="15"/>
  <c r="JS28" i="15"/>
  <c r="JQ28" i="15"/>
  <c r="JR28" i="15"/>
  <c r="JR21" i="15"/>
  <c r="JS21" i="15"/>
  <c r="JQ21" i="15"/>
  <c r="KD22" i="15"/>
  <c r="KD15" i="15"/>
  <c r="KI15" i="15" s="1"/>
  <c r="KN15" i="15" s="1"/>
  <c r="IA28" i="15"/>
  <c r="IC28" i="15"/>
  <c r="IB28" i="15"/>
  <c r="IB25" i="15"/>
  <c r="IC25" i="15"/>
  <c r="IA25" i="15"/>
  <c r="ID11" i="15"/>
  <c r="IB19" i="15"/>
  <c r="IC19" i="15"/>
  <c r="IA19" i="15"/>
  <c r="KD21" i="15"/>
  <c r="HZ27" i="15"/>
  <c r="IF27" i="15"/>
  <c r="JV27" i="15"/>
  <c r="JW27" i="15" s="1"/>
  <c r="KC18" i="15" s="1"/>
  <c r="KH18" i="15" s="1"/>
  <c r="KM18" i="15" s="1"/>
  <c r="JP27" i="15"/>
  <c r="W19" i="15"/>
  <c r="X19" i="15" s="1"/>
  <c r="V18" i="15"/>
  <c r="W18" i="15" s="1"/>
  <c r="X18" i="15" s="1"/>
  <c r="JY25" i="15"/>
  <c r="JV25" i="15"/>
  <c r="JW25" i="15" s="1"/>
  <c r="KC17" i="15" s="1"/>
  <c r="KH17" i="15" s="1"/>
  <c r="KM17" i="15" s="1"/>
  <c r="JP25" i="15"/>
  <c r="II27" i="15"/>
  <c r="IN18" i="15" s="1"/>
  <c r="IN19" i="15" s="1"/>
  <c r="JW11" i="15"/>
  <c r="JY27" i="15"/>
  <c r="Q25" i="15"/>
  <c r="Q30" i="15" s="1"/>
  <c r="S24" i="15"/>
  <c r="T24" i="15" s="1"/>
  <c r="R24" i="15"/>
  <c r="DO51" i="15" l="1"/>
  <c r="DP50" i="15"/>
  <c r="DO47" i="15"/>
  <c r="BJ27" i="15"/>
  <c r="BJ37" i="15" s="1"/>
  <c r="BH27" i="15"/>
  <c r="BK27" i="15" s="1"/>
  <c r="BK37" i="15" s="1"/>
  <c r="BI27" i="15"/>
  <c r="BI37" i="15" s="1"/>
  <c r="BH24" i="15"/>
  <c r="BJ24" i="15"/>
  <c r="BI24" i="15"/>
  <c r="DB68" i="15"/>
  <c r="DC58" i="15"/>
  <c r="DD58" i="15"/>
  <c r="DD68" i="15" s="1"/>
  <c r="DE58" i="15"/>
  <c r="DE68" i="15" s="1"/>
  <c r="DE55" i="15"/>
  <c r="DC55" i="15"/>
  <c r="DF55" i="15" s="1"/>
  <c r="DD55" i="15"/>
  <c r="DP48" i="15"/>
  <c r="DD53" i="15"/>
  <c r="DE53" i="15"/>
  <c r="DC53" i="15"/>
  <c r="DC49" i="15"/>
  <c r="DD49" i="15"/>
  <c r="DE49" i="15"/>
  <c r="DP49" i="15"/>
  <c r="DE47" i="15"/>
  <c r="DC47" i="15"/>
  <c r="DD47" i="15"/>
  <c r="DE51" i="15"/>
  <c r="DC51" i="15"/>
  <c r="DD51" i="15"/>
  <c r="BI21" i="15"/>
  <c r="BJ21" i="15"/>
  <c r="BH21" i="15"/>
  <c r="BI28" i="15"/>
  <c r="BH28" i="15"/>
  <c r="BJ28" i="15"/>
  <c r="DC45" i="15"/>
  <c r="DE45" i="15"/>
  <c r="DD45" i="15"/>
  <c r="DB67" i="15"/>
  <c r="DC52" i="15"/>
  <c r="DE52" i="15"/>
  <c r="DD52" i="15"/>
  <c r="DC50" i="15"/>
  <c r="DD50" i="15"/>
  <c r="DE50" i="15"/>
  <c r="DE57" i="15"/>
  <c r="DD57" i="15"/>
  <c r="DC57" i="15"/>
  <c r="DD59" i="15"/>
  <c r="DD69" i="15" s="1"/>
  <c r="DE59" i="15"/>
  <c r="DE69" i="15" s="1"/>
  <c r="DC59" i="15"/>
  <c r="DF59" i="15" s="1"/>
  <c r="DB69" i="15"/>
  <c r="DI44" i="15"/>
  <c r="DH63" i="15"/>
  <c r="DD60" i="15"/>
  <c r="DE60" i="15"/>
  <c r="DC60" i="15"/>
  <c r="DF60" i="15" s="1"/>
  <c r="DB70" i="15"/>
  <c r="DP47" i="15"/>
  <c r="DC48" i="15"/>
  <c r="DE48" i="15"/>
  <c r="DD48" i="15"/>
  <c r="DB66" i="15"/>
  <c r="DB63" i="15"/>
  <c r="DC44" i="15"/>
  <c r="DE44" i="15"/>
  <c r="DE54" i="15"/>
  <c r="DC54" i="15"/>
  <c r="DD54" i="15"/>
  <c r="DP51" i="15"/>
  <c r="DB71" i="15"/>
  <c r="DE61" i="15"/>
  <c r="DD61" i="15"/>
  <c r="DC61" i="15"/>
  <c r="DO49" i="15"/>
  <c r="DO55" i="15" s="1"/>
  <c r="BI29" i="15"/>
  <c r="BK29" i="15" s="1"/>
  <c r="BJ29" i="15"/>
  <c r="BH29" i="15"/>
  <c r="BH26" i="15"/>
  <c r="BH36" i="15" s="1"/>
  <c r="BI26" i="15"/>
  <c r="BI36" i="15" s="1"/>
  <c r="BJ26" i="15"/>
  <c r="BJ36" i="15" s="1"/>
  <c r="BH25" i="15"/>
  <c r="BH39" i="15" s="1"/>
  <c r="BJ25" i="15"/>
  <c r="BI25" i="15"/>
  <c r="BJ23" i="15"/>
  <c r="BH23" i="15"/>
  <c r="BI23" i="15"/>
  <c r="DK63" i="15"/>
  <c r="DP46" i="15"/>
  <c r="DO50" i="15"/>
  <c r="DO48" i="15"/>
  <c r="DC46" i="15"/>
  <c r="DE46" i="15"/>
  <c r="DD46" i="15"/>
  <c r="DE56" i="15"/>
  <c r="DD56" i="15"/>
  <c r="DC56" i="15"/>
  <c r="DF56" i="15" s="1"/>
  <c r="BK48" i="15"/>
  <c r="BK47" i="15"/>
  <c r="BK58" i="15"/>
  <c r="BT51" i="15" s="1"/>
  <c r="BT57" i="15" s="1"/>
  <c r="BK52" i="15"/>
  <c r="BK51" i="15"/>
  <c r="BK53" i="15"/>
  <c r="BK49" i="15"/>
  <c r="BK63" i="15"/>
  <c r="BK62" i="15"/>
  <c r="BK61" i="15"/>
  <c r="BK60" i="15"/>
  <c r="BT52" i="15" s="1"/>
  <c r="BK59" i="15"/>
  <c r="BK57" i="15"/>
  <c r="BK46" i="15"/>
  <c r="BV57" i="15"/>
  <c r="BK56" i="15"/>
  <c r="BT50" i="15" s="1"/>
  <c r="BI66" i="15"/>
  <c r="BK54" i="15"/>
  <c r="BT49" i="15" s="1"/>
  <c r="BH66" i="15"/>
  <c r="BJ66" i="15"/>
  <c r="BV58" i="15"/>
  <c r="BU58" i="15"/>
  <c r="BV56" i="15"/>
  <c r="BV54" i="15"/>
  <c r="BN66" i="15"/>
  <c r="DC38" i="15"/>
  <c r="DF16" i="15"/>
  <c r="BK17" i="15"/>
  <c r="BK13" i="15"/>
  <c r="DF11" i="15"/>
  <c r="DF14" i="15"/>
  <c r="DF20" i="15"/>
  <c r="DE37" i="15"/>
  <c r="BK16" i="15"/>
  <c r="BH34" i="15"/>
  <c r="DF25" i="15"/>
  <c r="DF35" i="15" s="1"/>
  <c r="DF28" i="15"/>
  <c r="BK11" i="15"/>
  <c r="DC34" i="15"/>
  <c r="DE38" i="15"/>
  <c r="BK18" i="15"/>
  <c r="DF22" i="15"/>
  <c r="DC33" i="15"/>
  <c r="DF17" i="15"/>
  <c r="DF23" i="15"/>
  <c r="DF19" i="15"/>
  <c r="BK20" i="15"/>
  <c r="DD37" i="15"/>
  <c r="DF13" i="15"/>
  <c r="BK14" i="15"/>
  <c r="BK12" i="15"/>
  <c r="BV13" i="15"/>
  <c r="BV21" i="15" s="1"/>
  <c r="BN11" i="15"/>
  <c r="BN31" i="15" s="1"/>
  <c r="BM31" i="15"/>
  <c r="DD33" i="15"/>
  <c r="BK19" i="15"/>
  <c r="BK15" i="15"/>
  <c r="DD34" i="15"/>
  <c r="DE33" i="15"/>
  <c r="DF15" i="15"/>
  <c r="BU17" i="15"/>
  <c r="BU23" i="15" s="1"/>
  <c r="DC37" i="15"/>
  <c r="DE30" i="15"/>
  <c r="DF26" i="15"/>
  <c r="DF36" i="15" s="1"/>
  <c r="DC30" i="15"/>
  <c r="DF18" i="15"/>
  <c r="DF27" i="15"/>
  <c r="BG35" i="15"/>
  <c r="BJ34" i="15"/>
  <c r="DD30" i="15"/>
  <c r="DE34" i="15"/>
  <c r="DF12" i="15"/>
  <c r="BP31" i="15"/>
  <c r="DF24" i="15"/>
  <c r="BU16" i="15"/>
  <c r="BU22" i="15" s="1"/>
  <c r="BV22" i="15"/>
  <c r="BI34" i="15"/>
  <c r="DD38" i="15"/>
  <c r="BG31" i="15"/>
  <c r="BV23" i="15"/>
  <c r="U24" i="15"/>
  <c r="S39" i="15" s="1"/>
  <c r="R39" i="15" s="1"/>
  <c r="T39" i="15"/>
  <c r="U39" i="15" s="1"/>
  <c r="KM23" i="15"/>
  <c r="KD18" i="15"/>
  <c r="KI18" i="15" s="1"/>
  <c r="KN18" i="15" s="1"/>
  <c r="JQ27" i="15"/>
  <c r="JR27" i="15"/>
  <c r="JS27" i="15"/>
  <c r="KD17" i="15"/>
  <c r="KI17" i="15" s="1"/>
  <c r="KN17" i="15" s="1"/>
  <c r="JP30" i="15"/>
  <c r="JR25" i="15"/>
  <c r="JS25" i="15"/>
  <c r="JQ25" i="15"/>
  <c r="HZ30" i="15"/>
  <c r="IB27" i="15"/>
  <c r="IC27" i="15"/>
  <c r="IA27" i="15"/>
  <c r="IN23" i="15"/>
  <c r="IN24" i="15" s="1"/>
  <c r="II30" i="15"/>
  <c r="KC23" i="15"/>
  <c r="JW30" i="15"/>
  <c r="KC13" i="15"/>
  <c r="KH13" i="15" s="1"/>
  <c r="IG27" i="15"/>
  <c r="IF30" i="15"/>
  <c r="JY30" i="15"/>
  <c r="Q26" i="15"/>
  <c r="Q27" i="15" s="1"/>
  <c r="JV30" i="15"/>
  <c r="V30" i="15"/>
  <c r="R25" i="15"/>
  <c r="S25" i="15"/>
  <c r="S30" i="15" s="1"/>
  <c r="BT48" i="15" l="1"/>
  <c r="BI39" i="15"/>
  <c r="BK28" i="15"/>
  <c r="BI38" i="15"/>
  <c r="BJ35" i="15"/>
  <c r="BK23" i="15"/>
  <c r="BT15" i="15" s="1"/>
  <c r="BI35" i="15"/>
  <c r="BK26" i="15"/>
  <c r="BK36" i="15" s="1"/>
  <c r="BH38" i="15"/>
  <c r="BK24" i="15"/>
  <c r="BH37" i="15"/>
  <c r="BK25" i="15"/>
  <c r="BT16" i="15" s="1"/>
  <c r="BH31" i="15"/>
  <c r="BH35" i="15"/>
  <c r="BT53" i="15"/>
  <c r="BT54" i="15" s="1"/>
  <c r="DF61" i="15"/>
  <c r="DF53" i="15"/>
  <c r="DF44" i="15"/>
  <c r="DF58" i="15"/>
  <c r="DF54" i="15"/>
  <c r="DN48" i="15" s="1"/>
  <c r="DF45" i="15"/>
  <c r="DF50" i="15"/>
  <c r="DF51" i="15"/>
  <c r="DF57" i="15"/>
  <c r="DN49" i="15" s="1"/>
  <c r="DF52" i="15"/>
  <c r="DF46" i="15"/>
  <c r="DF48" i="15"/>
  <c r="DF49" i="15"/>
  <c r="DF47" i="15"/>
  <c r="DE71" i="15"/>
  <c r="DD67" i="15"/>
  <c r="DD70" i="15"/>
  <c r="DF38" i="15"/>
  <c r="BI31" i="15"/>
  <c r="DO56" i="15"/>
  <c r="BJ39" i="15"/>
  <c r="DP56" i="15"/>
  <c r="DP52" i="15"/>
  <c r="DP54" i="15"/>
  <c r="DC67" i="15"/>
  <c r="BJ31" i="15"/>
  <c r="BK21" i="15"/>
  <c r="BT14" i="15" s="1"/>
  <c r="DC71" i="15"/>
  <c r="DE66" i="15"/>
  <c r="DE63" i="15"/>
  <c r="DP55" i="15"/>
  <c r="DE67" i="15"/>
  <c r="DO46" i="15"/>
  <c r="DI63" i="15"/>
  <c r="DD71" i="15"/>
  <c r="DC63" i="15"/>
  <c r="DC66" i="15"/>
  <c r="DD66" i="15"/>
  <c r="DD63" i="15"/>
  <c r="DC70" i="15"/>
  <c r="DC69" i="15"/>
  <c r="DF69" i="15"/>
  <c r="BJ38" i="15"/>
  <c r="DE70" i="15"/>
  <c r="DC68" i="15"/>
  <c r="BK66" i="15"/>
  <c r="BT18" i="15"/>
  <c r="BV59" i="15"/>
  <c r="BV61" i="15" s="1"/>
  <c r="BU54" i="15"/>
  <c r="BU56" i="15"/>
  <c r="BU59" i="15" s="1"/>
  <c r="BT13" i="15"/>
  <c r="BT21" i="15" s="1"/>
  <c r="BU13" i="15"/>
  <c r="BU21" i="15" s="1"/>
  <c r="BU24" i="15" s="1"/>
  <c r="DF34" i="15"/>
  <c r="BK34" i="15"/>
  <c r="DF37" i="15"/>
  <c r="BK38" i="15"/>
  <c r="BV19" i="15"/>
  <c r="DF33" i="15"/>
  <c r="BV24" i="15"/>
  <c r="DF30" i="15"/>
  <c r="KN19" i="15"/>
  <c r="R30" i="15"/>
  <c r="Q28" i="15"/>
  <c r="Q29" i="15" s="1"/>
  <c r="S27" i="15"/>
  <c r="T27" i="15" s="1"/>
  <c r="R27" i="15"/>
  <c r="R26" i="15"/>
  <c r="KH21" i="15"/>
  <c r="KM13" i="15"/>
  <c r="KD23" i="15"/>
  <c r="KD24" i="15" s="1"/>
  <c r="IN26" i="15" s="1"/>
  <c r="KN23" i="15"/>
  <c r="KN24" i="15" s="1"/>
  <c r="KI21" i="15"/>
  <c r="KD19" i="15"/>
  <c r="S26" i="15"/>
  <c r="T26" i="15" s="1"/>
  <c r="IM18" i="15"/>
  <c r="IG30" i="15"/>
  <c r="T25" i="15"/>
  <c r="T40" i="15" s="1"/>
  <c r="U40" i="15" s="1"/>
  <c r="KC19" i="15"/>
  <c r="KC21" i="15"/>
  <c r="KC24" i="15" s="1"/>
  <c r="X30" i="15"/>
  <c r="W30" i="15"/>
  <c r="BT17" i="15" l="1"/>
  <c r="BT19" i="15" s="1"/>
  <c r="BK31" i="15"/>
  <c r="BK39" i="15"/>
  <c r="BT22" i="15"/>
  <c r="BK35" i="15"/>
  <c r="DF63" i="15"/>
  <c r="DN47" i="15"/>
  <c r="DN55" i="15" s="1"/>
  <c r="DF71" i="15"/>
  <c r="DF70" i="15"/>
  <c r="DO54" i="15"/>
  <c r="DO57" i="15" s="1"/>
  <c r="DO59" i="15" s="1"/>
  <c r="DO52" i="15"/>
  <c r="DF67" i="15"/>
  <c r="BT58" i="15"/>
  <c r="K33" i="3" s="1"/>
  <c r="DF66" i="15"/>
  <c r="DN46" i="15"/>
  <c r="DP57" i="15"/>
  <c r="DP59" i="15" s="1"/>
  <c r="DF68" i="15"/>
  <c r="DN50" i="15"/>
  <c r="DN56" i="15" s="1"/>
  <c r="BU61" i="15"/>
  <c r="K32" i="3"/>
  <c r="K117" i="3" s="1"/>
  <c r="BT56" i="15"/>
  <c r="BT23" i="15"/>
  <c r="BU19" i="15"/>
  <c r="S29" i="15"/>
  <c r="T29" i="15" s="1"/>
  <c r="U29" i="15" s="1"/>
  <c r="R29" i="15"/>
  <c r="U26" i="15"/>
  <c r="S41" i="15" s="1"/>
  <c r="R41" i="15" s="1"/>
  <c r="T41" i="15"/>
  <c r="U41" i="15" s="1"/>
  <c r="U27" i="15"/>
  <c r="S42" i="15" s="1"/>
  <c r="R42" i="15" s="1"/>
  <c r="T42" i="15"/>
  <c r="U42" i="15" s="1"/>
  <c r="R28" i="15"/>
  <c r="S28" i="15"/>
  <c r="T28" i="15" s="1"/>
  <c r="U28" i="15" s="1"/>
  <c r="KM21" i="15"/>
  <c r="KM24" i="15" s="1"/>
  <c r="KM19" i="15"/>
  <c r="KI22" i="15"/>
  <c r="U25" i="15"/>
  <c r="R15" i="15" s="1"/>
  <c r="T30" i="15"/>
  <c r="IM23" i="15"/>
  <c r="IM24" i="15" s="1"/>
  <c r="IM26" i="15" s="1"/>
  <c r="IM19" i="15"/>
  <c r="BT24" i="15" l="1"/>
  <c r="K31" i="3"/>
  <c r="K116" i="3" s="1"/>
  <c r="J32" i="3"/>
  <c r="J33" i="3"/>
  <c r="K118" i="3"/>
  <c r="K150" i="3" s="1"/>
  <c r="DN52" i="15"/>
  <c r="DN54" i="15"/>
  <c r="K178" i="3"/>
  <c r="K149" i="3"/>
  <c r="BT59" i="15"/>
  <c r="U30" i="15"/>
  <c r="S40" i="15"/>
  <c r="R40" i="15" s="1"/>
  <c r="W74" i="10"/>
  <c r="W72" i="10" s="1"/>
  <c r="V83" i="10"/>
  <c r="X83" i="10" s="1"/>
  <c r="V82" i="10"/>
  <c r="X82" i="10" s="1"/>
  <c r="U61" i="10"/>
  <c r="V61" i="10" s="1"/>
  <c r="W61" i="10" s="1"/>
  <c r="BM40" i="10"/>
  <c r="GB14" i="15"/>
  <c r="GD14" i="15" s="1"/>
  <c r="GF14" i="15" s="1"/>
  <c r="GB15" i="15"/>
  <c r="GD15" i="15" s="1"/>
  <c r="GF15" i="15" s="1"/>
  <c r="GB16" i="15"/>
  <c r="GD16" i="15" s="1"/>
  <c r="GF16" i="15" s="1"/>
  <c r="GB17" i="15"/>
  <c r="GD17" i="15" s="1"/>
  <c r="GF17" i="15" s="1"/>
  <c r="FW27" i="15"/>
  <c r="FW25" i="15"/>
  <c r="FZ16" i="15"/>
  <c r="GS16" i="15" s="1"/>
  <c r="GI28" i="15"/>
  <c r="GH28" i="15"/>
  <c r="GB28" i="15"/>
  <c r="GD28" i="15" s="1"/>
  <c r="GF28" i="15" s="1"/>
  <c r="GI27" i="15"/>
  <c r="GH27" i="15"/>
  <c r="GB27" i="15"/>
  <c r="GD27" i="15" s="1"/>
  <c r="GF27" i="15" s="1"/>
  <c r="GI26" i="15"/>
  <c r="GH26" i="15"/>
  <c r="GB26" i="15"/>
  <c r="GD26" i="15" s="1"/>
  <c r="GF26" i="15" s="1"/>
  <c r="GI25" i="15"/>
  <c r="GH25" i="15"/>
  <c r="GB25" i="15"/>
  <c r="GD25" i="15" s="1"/>
  <c r="GF25" i="15" s="1"/>
  <c r="GI24" i="15"/>
  <c r="GH24" i="15"/>
  <c r="GB24" i="15"/>
  <c r="GD24" i="15" s="1"/>
  <c r="GF24" i="15" s="1"/>
  <c r="GI23" i="15"/>
  <c r="GH23" i="15"/>
  <c r="GB23" i="15"/>
  <c r="GD23" i="15" s="1"/>
  <c r="GF23" i="15" s="1"/>
  <c r="GB22" i="15"/>
  <c r="GD22" i="15" s="1"/>
  <c r="GF22" i="15" s="1"/>
  <c r="GB21" i="15"/>
  <c r="GD21" i="15" s="1"/>
  <c r="GF21" i="15" s="1"/>
  <c r="GB20" i="15"/>
  <c r="GD20" i="15" s="1"/>
  <c r="GF20" i="15" s="1"/>
  <c r="GB19" i="15"/>
  <c r="GD19" i="15" s="1"/>
  <c r="GF19" i="15" s="1"/>
  <c r="GI18" i="15"/>
  <c r="GH18" i="15"/>
  <c r="GB18" i="15"/>
  <c r="GD18" i="15" s="1"/>
  <c r="GF18" i="15" s="1"/>
  <c r="GB13" i="15"/>
  <c r="GD13" i="15" s="1"/>
  <c r="GF13" i="15" s="1"/>
  <c r="GI12" i="15"/>
  <c r="GH12" i="15"/>
  <c r="GB12" i="15"/>
  <c r="GD12" i="15" s="1"/>
  <c r="GF12" i="15" s="1"/>
  <c r="GI11" i="15"/>
  <c r="GB11" i="15"/>
  <c r="FT10" i="15"/>
  <c r="FT11" i="15"/>
  <c r="FT12" i="15"/>
  <c r="FT13" i="15"/>
  <c r="FT15" i="15"/>
  <c r="FT16" i="15"/>
  <c r="FT17" i="15"/>
  <c r="FT18" i="15"/>
  <c r="FT19" i="15"/>
  <c r="FT34" i="15"/>
  <c r="FT21" i="15"/>
  <c r="FT22" i="15"/>
  <c r="FT24" i="15"/>
  <c r="FT25" i="15"/>
  <c r="FT27" i="15"/>
  <c r="FT28" i="15"/>
  <c r="FT29" i="15"/>
  <c r="FT9" i="15"/>
  <c r="FP22" i="15"/>
  <c r="AN20" i="10"/>
  <c r="AG20" i="10"/>
  <c r="FS31" i="15"/>
  <c r="FS32" i="15"/>
  <c r="FS33" i="15"/>
  <c r="FS34" i="15"/>
  <c r="FS35" i="15"/>
  <c r="FR24" i="15"/>
  <c r="FR25" i="15"/>
  <c r="FR26" i="15"/>
  <c r="FR27" i="15"/>
  <c r="FR28" i="15"/>
  <c r="FR23" i="15"/>
  <c r="FQ24" i="15"/>
  <c r="FQ25" i="15"/>
  <c r="FQ26" i="15"/>
  <c r="FQ27" i="15"/>
  <c r="FQ28" i="15"/>
  <c r="FQ21" i="15"/>
  <c r="FR17" i="15"/>
  <c r="FR18" i="15"/>
  <c r="FR19" i="15"/>
  <c r="FR20" i="15"/>
  <c r="FR21" i="15"/>
  <c r="FR16" i="15"/>
  <c r="FQ17" i="15"/>
  <c r="FQ18" i="15"/>
  <c r="FQ19" i="15"/>
  <c r="FQ20" i="15"/>
  <c r="FQ16" i="15"/>
  <c r="AN6" i="10"/>
  <c r="AE6" i="10"/>
  <c r="FR9" i="15"/>
  <c r="FR10" i="15"/>
  <c r="FR11" i="15"/>
  <c r="FR12" i="15"/>
  <c r="FR13" i="15"/>
  <c r="FR14" i="15"/>
  <c r="FQ10" i="15"/>
  <c r="FQ11" i="15"/>
  <c r="FQ12" i="15"/>
  <c r="FQ13" i="15"/>
  <c r="FQ14" i="15"/>
  <c r="FQ9" i="15"/>
  <c r="AC12" i="10"/>
  <c r="AD6" i="10"/>
  <c r="AG6" i="10" s="1"/>
  <c r="Y74" i="10"/>
  <c r="Y73" i="10"/>
  <c r="X76" i="10"/>
  <c r="AG78" i="10"/>
  <c r="AG77" i="10"/>
  <c r="T61" i="10"/>
  <c r="K148" i="3" l="1"/>
  <c r="W115" i="3" s="1"/>
  <c r="W114" i="3"/>
  <c r="K30" i="3"/>
  <c r="K177" i="3"/>
  <c r="BT61" i="15"/>
  <c r="BT66" i="15"/>
  <c r="BT65" i="15"/>
  <c r="BT64" i="15"/>
  <c r="DN57" i="15"/>
  <c r="J31" i="3"/>
  <c r="K121" i="3"/>
  <c r="K147" i="3" s="1"/>
  <c r="K179" i="3"/>
  <c r="FQ35" i="15"/>
  <c r="FQ30" i="15"/>
  <c r="FQ32" i="15"/>
  <c r="DZ35" i="15"/>
  <c r="DZ34" i="15"/>
  <c r="DZ33" i="15"/>
  <c r="DZ31" i="15"/>
  <c r="DZ32" i="15"/>
  <c r="DZ30" i="15"/>
  <c r="FT30" i="15"/>
  <c r="FT32" i="15"/>
  <c r="FT31" i="15"/>
  <c r="FT35" i="15"/>
  <c r="FT33" i="15"/>
  <c r="GD11" i="15"/>
  <c r="GF11" i="15" s="1"/>
  <c r="FS36" i="15"/>
  <c r="FQ34" i="15"/>
  <c r="GJ16" i="15"/>
  <c r="GP16" i="15"/>
  <c r="GQ16" i="15" s="1"/>
  <c r="X26" i="10"/>
  <c r="AD20" i="10" s="1"/>
  <c r="P97" i="15"/>
  <c r="P103" i="15" s="1"/>
  <c r="P104" i="15" s="1"/>
  <c r="P105" i="15" s="1"/>
  <c r="P106" i="15" s="1"/>
  <c r="P107" i="15" s="1"/>
  <c r="P108" i="15" s="1"/>
  <c r="P109" i="15" s="1"/>
  <c r="P110" i="15" s="1"/>
  <c r="P111" i="15" s="1"/>
  <c r="P112" i="15" s="1"/>
  <c r="P113" i="15" s="1"/>
  <c r="P114" i="15" s="1"/>
  <c r="DN59" i="15" l="1"/>
  <c r="DR55" i="15"/>
  <c r="DR56" i="15"/>
  <c r="DR54" i="15"/>
  <c r="K136" i="3"/>
  <c r="K167" i="3" s="1"/>
  <c r="W137" i="3" s="1"/>
  <c r="FT36" i="15"/>
  <c r="FU12" i="15" s="1"/>
  <c r="FY21" i="15" s="1"/>
  <c r="FZ21" i="15" s="1"/>
  <c r="GP21" i="15" s="1"/>
  <c r="GQ21" i="15" s="1"/>
  <c r="GM16" i="15"/>
  <c r="GK16" i="15"/>
  <c r="GL16" i="15"/>
  <c r="P116" i="15"/>
  <c r="P117" i="15" s="1"/>
  <c r="P118" i="15" s="1"/>
  <c r="P119" i="15" s="1"/>
  <c r="P120" i="15" s="1"/>
  <c r="P121" i="15" s="1"/>
  <c r="P122" i="15" s="1"/>
  <c r="P123" i="15" s="1"/>
  <c r="P124" i="15" s="1"/>
  <c r="P125" i="15" s="1"/>
  <c r="P126" i="15" s="1"/>
  <c r="P127" i="15" s="1"/>
  <c r="P128" i="15" s="1"/>
  <c r="P129" i="15" s="1"/>
  <c r="P130" i="15" s="1"/>
  <c r="P131" i="15" s="1"/>
  <c r="P132" i="15" s="1"/>
  <c r="P133" i="15" s="1"/>
  <c r="P134" i="15" s="1"/>
  <c r="P135" i="15" s="1"/>
  <c r="P136" i="15" s="1"/>
  <c r="P137" i="15" s="1"/>
  <c r="P138" i="15" s="1"/>
  <c r="P139" i="15" s="1"/>
  <c r="P140" i="15" s="1"/>
  <c r="P141" i="15" s="1"/>
  <c r="P142" i="15" s="1"/>
  <c r="P143" i="15" s="1"/>
  <c r="P144" i="15" s="1"/>
  <c r="P145" i="15" s="1"/>
  <c r="P146" i="15" s="1"/>
  <c r="P147" i="15" s="1"/>
  <c r="P148" i="15" s="1"/>
  <c r="P149" i="15" s="1"/>
  <c r="P150" i="15" s="1"/>
  <c r="P151" i="15" s="1"/>
  <c r="P152" i="15" s="1"/>
  <c r="P153" i="15" s="1"/>
  <c r="P154" i="15" s="1"/>
  <c r="P155" i="15" s="1"/>
  <c r="P156" i="15" s="1"/>
  <c r="P157" i="15" s="1"/>
  <c r="P158" i="15" s="1"/>
  <c r="P159" i="15" s="1"/>
  <c r="P160" i="15" s="1"/>
  <c r="P161" i="15" s="1"/>
  <c r="P162" i="15" s="1"/>
  <c r="P163" i="15" s="1"/>
  <c r="P164" i="15" s="1"/>
  <c r="P165" i="15" s="1"/>
  <c r="P166" i="15" s="1"/>
  <c r="P167" i="15" s="1"/>
  <c r="P168" i="15" s="1"/>
  <c r="P169" i="15" s="1"/>
  <c r="P170" i="15" s="1"/>
  <c r="P171" i="15" s="1"/>
  <c r="P172" i="15" s="1"/>
  <c r="P173" i="15" s="1"/>
  <c r="P174" i="15" s="1"/>
  <c r="P175" i="15" s="1"/>
  <c r="P176" i="15" s="1"/>
  <c r="P177" i="15" s="1"/>
  <c r="P178" i="15" s="1"/>
  <c r="P179" i="15" s="1"/>
  <c r="P180" i="15" s="1"/>
  <c r="P181" i="15" s="1"/>
  <c r="P182" i="15" s="1"/>
  <c r="P183" i="15" s="1"/>
  <c r="P184" i="15" s="1"/>
  <c r="P185" i="15" s="1"/>
  <c r="P186" i="15" s="1"/>
  <c r="P187" i="15" s="1"/>
  <c r="P188" i="15" s="1"/>
  <c r="P189" i="15" s="1"/>
  <c r="P190" i="15" s="1"/>
  <c r="P191" i="15" s="1"/>
  <c r="P192" i="15" s="1"/>
  <c r="P193" i="15" s="1"/>
  <c r="P194" i="15" s="1"/>
  <c r="P195" i="15" s="1"/>
  <c r="P196" i="15" s="1"/>
  <c r="P197" i="15" s="1"/>
  <c r="P198" i="15" s="1"/>
  <c r="P199" i="15" s="1"/>
  <c r="P200" i="15" s="1"/>
  <c r="P201" i="15" s="1"/>
  <c r="P202" i="15" s="1"/>
  <c r="P203" i="15" s="1"/>
  <c r="P204" i="15" s="1"/>
  <c r="P205" i="15" s="1"/>
  <c r="P206" i="15" s="1"/>
  <c r="P207" i="15" s="1"/>
  <c r="P208" i="15" s="1"/>
  <c r="P209" i="15" s="1"/>
  <c r="P210" i="15" s="1"/>
  <c r="P211" i="15" s="1"/>
  <c r="P212" i="15" s="1"/>
  <c r="P213" i="15" s="1"/>
  <c r="P214" i="15" s="1"/>
  <c r="P215" i="15" s="1"/>
  <c r="P216" i="15" s="1"/>
  <c r="P217" i="15" s="1"/>
  <c r="P218" i="15" s="1"/>
  <c r="P219" i="15" s="1"/>
  <c r="P220" i="15" s="1"/>
  <c r="P221" i="15" s="1"/>
  <c r="P222" i="15" s="1"/>
  <c r="P223" i="15" s="1"/>
  <c r="P224" i="15" s="1"/>
  <c r="P225" i="15" s="1"/>
  <c r="P226" i="15" s="1"/>
  <c r="P227" i="15" s="1"/>
  <c r="P228" i="15" s="1"/>
  <c r="P229" i="15" s="1"/>
  <c r="P230" i="15" s="1"/>
  <c r="BE22" i="11"/>
  <c r="AZ64" i="11"/>
  <c r="BA64" i="11" s="1"/>
  <c r="AZ63" i="11"/>
  <c r="BA63" i="11" s="1"/>
  <c r="AZ62" i="11"/>
  <c r="AZ60" i="11"/>
  <c r="BA60" i="11" s="1"/>
  <c r="AZ59" i="11"/>
  <c r="BA59" i="11" s="1"/>
  <c r="AZ57" i="11"/>
  <c r="BA57" i="11" s="1"/>
  <c r="AZ56" i="11"/>
  <c r="BA56" i="11" s="1"/>
  <c r="AZ55" i="11"/>
  <c r="BA55" i="11" s="1"/>
  <c r="AZ53" i="11"/>
  <c r="BA53" i="11" s="1"/>
  <c r="AZ52" i="11"/>
  <c r="BA52" i="11" s="1"/>
  <c r="AZ51" i="11"/>
  <c r="BA51" i="11" s="1"/>
  <c r="AZ49" i="11"/>
  <c r="BA49" i="11" s="1"/>
  <c r="AZ48" i="11"/>
  <c r="BA48" i="11" s="1"/>
  <c r="AZ46" i="11"/>
  <c r="BA46" i="11" s="1"/>
  <c r="AZ45" i="11"/>
  <c r="BA45" i="11" s="1"/>
  <c r="AZ44" i="11"/>
  <c r="BA44" i="11" s="1"/>
  <c r="AZ42" i="11"/>
  <c r="BA42" i="11" s="1"/>
  <c r="AZ41" i="11"/>
  <c r="BA41" i="11" s="1"/>
  <c r="AZ40" i="11"/>
  <c r="BA40" i="11" s="1"/>
  <c r="AZ38" i="11"/>
  <c r="BA38" i="11" s="1"/>
  <c r="AZ37" i="11"/>
  <c r="BA37" i="11" s="1"/>
  <c r="AZ35" i="11"/>
  <c r="BA35" i="11" s="1"/>
  <c r="AZ34" i="11"/>
  <c r="BA34" i="11" s="1"/>
  <c r="AZ33" i="11"/>
  <c r="BA33" i="11" s="1"/>
  <c r="AZ31" i="11"/>
  <c r="BA31" i="11" s="1"/>
  <c r="AZ30" i="11"/>
  <c r="BA30" i="11" s="1"/>
  <c r="AZ29" i="11"/>
  <c r="BA29" i="11" s="1"/>
  <c r="AZ27" i="11"/>
  <c r="BA27" i="11" s="1"/>
  <c r="AZ26" i="11"/>
  <c r="BA26" i="11" s="1"/>
  <c r="AZ24" i="11"/>
  <c r="BA24" i="11" s="1"/>
  <c r="AZ23" i="11"/>
  <c r="BA23" i="11" s="1"/>
  <c r="AZ22" i="11"/>
  <c r="BA22" i="11" s="1"/>
  <c r="AZ20" i="11"/>
  <c r="BA20" i="11" s="1"/>
  <c r="AZ19" i="11"/>
  <c r="BA19" i="11" s="1"/>
  <c r="AZ18" i="11"/>
  <c r="BA18" i="11" s="1"/>
  <c r="AZ16" i="11"/>
  <c r="BA16" i="11" s="1"/>
  <c r="AZ15" i="11"/>
  <c r="BA15" i="11" s="1"/>
  <c r="AZ13" i="11"/>
  <c r="BA13" i="11" s="1"/>
  <c r="AZ12" i="11"/>
  <c r="BA12" i="11" s="1"/>
  <c r="AZ11" i="11"/>
  <c r="BA11" i="11" s="1"/>
  <c r="BB11" i="11"/>
  <c r="BQ13" i="11"/>
  <c r="BQ12" i="11"/>
  <c r="BO47" i="11"/>
  <c r="BP47" i="11" s="1"/>
  <c r="BQ47" i="11" s="1"/>
  <c r="AX65" i="11"/>
  <c r="BO46" i="11"/>
  <c r="BP46" i="11" s="1"/>
  <c r="BP45" i="11"/>
  <c r="BQ49" i="11" s="1"/>
  <c r="BB62" i="11"/>
  <c r="AY61" i="11"/>
  <c r="BE60" i="11"/>
  <c r="BB60" i="11"/>
  <c r="BH60" i="11" s="1"/>
  <c r="BE59" i="11"/>
  <c r="BB59" i="11"/>
  <c r="BB58" i="11"/>
  <c r="AY58" i="11"/>
  <c r="BE57" i="11"/>
  <c r="BB57" i="11"/>
  <c r="BE56" i="11"/>
  <c r="BB56" i="11"/>
  <c r="BH56" i="11" s="1"/>
  <c r="BE55" i="11"/>
  <c r="BD55" i="11"/>
  <c r="BB55" i="11"/>
  <c r="AX54" i="11"/>
  <c r="AY53" i="11"/>
  <c r="AY52" i="11"/>
  <c r="AY51" i="11"/>
  <c r="AY50" i="11"/>
  <c r="BE49" i="11"/>
  <c r="BB49" i="11"/>
  <c r="BE48" i="11"/>
  <c r="BB48" i="11"/>
  <c r="BB47" i="11"/>
  <c r="AY47" i="11"/>
  <c r="BE46" i="11"/>
  <c r="BB46" i="11"/>
  <c r="BH46" i="11" s="1"/>
  <c r="BE45" i="11"/>
  <c r="BB45" i="11"/>
  <c r="BE44" i="11"/>
  <c r="BD44" i="11"/>
  <c r="BB44" i="11"/>
  <c r="AX43" i="11"/>
  <c r="AY42" i="11"/>
  <c r="AY41" i="11"/>
  <c r="AY40" i="11"/>
  <c r="BB40" i="11" s="1"/>
  <c r="AY39" i="11"/>
  <c r="BB39" i="11" s="1"/>
  <c r="BE38" i="11"/>
  <c r="BB38" i="11"/>
  <c r="BE37" i="11"/>
  <c r="BB37" i="11"/>
  <c r="BB36" i="11"/>
  <c r="BH36" i="11" s="1"/>
  <c r="AY36" i="11"/>
  <c r="BE35" i="11"/>
  <c r="BB35" i="11"/>
  <c r="BE34" i="11"/>
  <c r="BB34" i="11"/>
  <c r="BE33" i="11"/>
  <c r="BD33" i="11"/>
  <c r="BB33" i="11"/>
  <c r="AX32" i="11"/>
  <c r="AY31" i="11"/>
  <c r="AY30" i="11"/>
  <c r="AY29" i="11"/>
  <c r="BB29" i="11" s="1"/>
  <c r="AY28" i="11"/>
  <c r="BE27" i="11"/>
  <c r="BB27" i="11"/>
  <c r="BE26" i="11"/>
  <c r="BB26" i="11"/>
  <c r="BH26" i="11" s="1"/>
  <c r="BB25" i="11"/>
  <c r="AY25" i="11"/>
  <c r="BE24" i="11"/>
  <c r="BB24" i="11"/>
  <c r="BE23" i="11"/>
  <c r="BB23" i="11"/>
  <c r="BH23" i="11" s="1"/>
  <c r="BD22" i="11"/>
  <c r="BB22" i="11"/>
  <c r="BH22" i="11" s="1"/>
  <c r="AX21" i="11"/>
  <c r="AY20" i="11"/>
  <c r="AY19" i="11"/>
  <c r="AY18" i="11"/>
  <c r="BB18" i="11" s="1"/>
  <c r="AY17" i="11"/>
  <c r="BB17" i="11" s="1"/>
  <c r="BB16" i="11"/>
  <c r="BB15" i="11"/>
  <c r="BB14" i="11"/>
  <c r="AY14" i="11"/>
  <c r="BB13" i="11"/>
  <c r="BB12" i="11"/>
  <c r="W136" i="3" l="1"/>
  <c r="K189" i="3"/>
  <c r="FU29" i="15"/>
  <c r="FU24" i="15"/>
  <c r="FY14" i="15" s="1"/>
  <c r="FZ14" i="15" s="1"/>
  <c r="GJ14" i="15" s="1"/>
  <c r="GM14" i="15" s="1"/>
  <c r="FU26" i="15"/>
  <c r="FU21" i="15"/>
  <c r="FY28" i="15" s="1"/>
  <c r="FZ28" i="15" s="1"/>
  <c r="GJ28" i="15" s="1"/>
  <c r="GL28" i="15" s="1"/>
  <c r="FU35" i="15"/>
  <c r="FU10" i="15"/>
  <c r="FY19" i="15" s="1"/>
  <c r="FZ19" i="15" s="1"/>
  <c r="GP19" i="15" s="1"/>
  <c r="GQ19" i="15" s="1"/>
  <c r="FU33" i="15"/>
  <c r="FU15" i="15"/>
  <c r="FU25" i="15"/>
  <c r="FY15" i="15" s="1"/>
  <c r="FZ15" i="15" s="1"/>
  <c r="GJ15" i="15" s="1"/>
  <c r="GM15" i="15" s="1"/>
  <c r="FU16" i="15"/>
  <c r="FY12" i="15" s="1"/>
  <c r="FZ12" i="15" s="1"/>
  <c r="GJ12" i="15" s="1"/>
  <c r="GM12" i="15" s="1"/>
  <c r="FU30" i="15"/>
  <c r="FU18" i="15"/>
  <c r="FY24" i="15" s="1"/>
  <c r="FZ24" i="15" s="1"/>
  <c r="GJ24" i="15" s="1"/>
  <c r="GL24" i="15" s="1"/>
  <c r="FU32" i="15"/>
  <c r="ED26" i="15"/>
  <c r="FU20" i="15"/>
  <c r="FY26" i="15" s="1"/>
  <c r="FZ26" i="15" s="1"/>
  <c r="GP26" i="15" s="1"/>
  <c r="GQ26" i="15" s="1"/>
  <c r="ED19" i="15"/>
  <c r="EH22" i="15" s="1"/>
  <c r="EI22" i="15" s="1"/>
  <c r="ED24" i="15"/>
  <c r="EH14" i="15" s="1"/>
  <c r="EI14" i="15" s="1"/>
  <c r="FU28" i="15"/>
  <c r="FY18" i="15" s="1"/>
  <c r="FZ18" i="15" s="1"/>
  <c r="GS18" i="15" s="1"/>
  <c r="FU19" i="15"/>
  <c r="FY22" i="15" s="1"/>
  <c r="FZ22" i="15" s="1"/>
  <c r="GP22" i="15" s="1"/>
  <c r="GQ22" i="15" s="1"/>
  <c r="GW15" i="15" s="1"/>
  <c r="FU17" i="15"/>
  <c r="FY20" i="15" s="1"/>
  <c r="FZ20" i="15" s="1"/>
  <c r="P231" i="15"/>
  <c r="P232" i="15" s="1"/>
  <c r="ED23" i="15"/>
  <c r="EH13" i="15" s="1"/>
  <c r="EI13" i="15" s="1"/>
  <c r="FU9" i="15"/>
  <c r="FY11" i="15" s="1"/>
  <c r="FZ11" i="15" s="1"/>
  <c r="GP11" i="15" s="1"/>
  <c r="GQ11" i="15" s="1"/>
  <c r="FU22" i="15"/>
  <c r="FU11" i="15"/>
  <c r="FY23" i="15" s="1"/>
  <c r="FZ23" i="15" s="1"/>
  <c r="GP23" i="15" s="1"/>
  <c r="GQ23" i="15" s="1"/>
  <c r="FU23" i="15"/>
  <c r="FY13" i="15" s="1"/>
  <c r="FZ13" i="15" s="1"/>
  <c r="GJ13" i="15" s="1"/>
  <c r="FU31" i="15"/>
  <c r="ED29" i="15"/>
  <c r="ED22" i="15"/>
  <c r="ED20" i="15"/>
  <c r="EH26" i="15" s="1"/>
  <c r="EI26" i="15" s="1"/>
  <c r="ED12" i="15"/>
  <c r="EH21" i="15" s="1"/>
  <c r="EI21" i="15" s="1"/>
  <c r="ED10" i="15"/>
  <c r="EH19" i="15" s="1"/>
  <c r="EI19" i="15" s="1"/>
  <c r="ED28" i="15"/>
  <c r="EH18" i="15" s="1"/>
  <c r="EI18" i="15" s="1"/>
  <c r="ED14" i="15"/>
  <c r="ED9" i="15"/>
  <c r="ED16" i="15"/>
  <c r="ED18" i="15"/>
  <c r="EH24" i="15" s="1"/>
  <c r="EI24" i="15" s="1"/>
  <c r="ED21" i="15"/>
  <c r="EH28" i="15" s="1"/>
  <c r="EI28" i="15" s="1"/>
  <c r="ED15" i="15"/>
  <c r="ED13" i="15"/>
  <c r="ED34" i="15"/>
  <c r="ED17" i="15"/>
  <c r="EH20" i="15" s="1"/>
  <c r="EI20" i="15" s="1"/>
  <c r="ED35" i="15"/>
  <c r="ED27" i="15"/>
  <c r="EH17" i="15" s="1"/>
  <c r="EI17" i="15" s="1"/>
  <c r="ED33" i="15"/>
  <c r="ED31" i="15"/>
  <c r="ED30" i="15"/>
  <c r="ED25" i="15"/>
  <c r="EH15" i="15" s="1"/>
  <c r="EI15" i="15" s="1"/>
  <c r="ED32" i="15"/>
  <c r="ED11" i="15"/>
  <c r="EH23" i="15" s="1"/>
  <c r="EI23" i="15" s="1"/>
  <c r="FU34" i="15"/>
  <c r="FU27" i="15"/>
  <c r="FY17" i="15" s="1"/>
  <c r="FZ17" i="15" s="1"/>
  <c r="GS17" i="15" s="1"/>
  <c r="FU14" i="15"/>
  <c r="FU13" i="15"/>
  <c r="FY27" i="15" s="1"/>
  <c r="FZ27" i="15" s="1"/>
  <c r="GS27" i="15" s="1"/>
  <c r="GN16" i="15"/>
  <c r="BH29" i="11"/>
  <c r="BH34" i="11"/>
  <c r="BH35" i="11"/>
  <c r="BH45" i="11"/>
  <c r="BH49" i="11"/>
  <c r="BH59" i="11"/>
  <c r="BH38" i="11"/>
  <c r="BH40" i="11"/>
  <c r="BH57" i="11"/>
  <c r="BH37" i="11"/>
  <c r="BH27" i="11"/>
  <c r="BH44" i="11"/>
  <c r="BH47" i="11"/>
  <c r="BH48" i="11"/>
  <c r="GS21" i="15"/>
  <c r="BH33" i="11"/>
  <c r="BH24" i="11"/>
  <c r="BH55" i="11"/>
  <c r="BH58" i="11"/>
  <c r="GJ21" i="15"/>
  <c r="BH25" i="11"/>
  <c r="BG52" i="11"/>
  <c r="JT16" i="15"/>
  <c r="ID16" i="15"/>
  <c r="JT28" i="15"/>
  <c r="BE28" i="11"/>
  <c r="BE36" i="11"/>
  <c r="BE50" i="11"/>
  <c r="BE42" i="11"/>
  <c r="BG63" i="11"/>
  <c r="BC59" i="11"/>
  <c r="BC15" i="11"/>
  <c r="BC37" i="11"/>
  <c r="BC48" i="11"/>
  <c r="BC11" i="11"/>
  <c r="BC26" i="11"/>
  <c r="BE62" i="11"/>
  <c r="BB50" i="11"/>
  <c r="BH50" i="11" s="1"/>
  <c r="BB51" i="11"/>
  <c r="BH51" i="11" s="1"/>
  <c r="BC18" i="11"/>
  <c r="BB28" i="11"/>
  <c r="BH28" i="11" s="1"/>
  <c r="BE25" i="11"/>
  <c r="BE29" i="11"/>
  <c r="BE39" i="11"/>
  <c r="BE51" i="11"/>
  <c r="BE61" i="11"/>
  <c r="BE40" i="11"/>
  <c r="BE31" i="11"/>
  <c r="BB61" i="11"/>
  <c r="BG31" i="11"/>
  <c r="BG41" i="11"/>
  <c r="BE47" i="11"/>
  <c r="BE53" i="11"/>
  <c r="BE58" i="11"/>
  <c r="BQ45" i="11"/>
  <c r="BE63" i="11"/>
  <c r="BB64" i="11"/>
  <c r="BB63" i="11"/>
  <c r="AY21" i="11"/>
  <c r="BE30" i="11"/>
  <c r="BB31" i="11"/>
  <c r="BB30" i="11"/>
  <c r="AY32" i="11"/>
  <c r="BE41" i="11"/>
  <c r="BB42" i="11"/>
  <c r="BB41" i="11"/>
  <c r="AY43" i="11"/>
  <c r="BE52" i="11"/>
  <c r="AY54" i="11"/>
  <c r="BB53" i="11"/>
  <c r="BB52" i="11"/>
  <c r="BE64" i="11"/>
  <c r="BQ50" i="11"/>
  <c r="BQ46" i="11"/>
  <c r="BB19" i="11"/>
  <c r="BB20" i="11"/>
  <c r="BB21" i="11" s="1"/>
  <c r="AY65" i="11"/>
  <c r="BQ51" i="11"/>
  <c r="GS28" i="15" l="1"/>
  <c r="GX18" i="15" s="1"/>
  <c r="GM28" i="15"/>
  <c r="GS14" i="15"/>
  <c r="GS19" i="15"/>
  <c r="GJ19" i="15"/>
  <c r="GL19" i="15" s="1"/>
  <c r="GK14" i="15"/>
  <c r="GP14" i="15"/>
  <c r="GQ14" i="15" s="1"/>
  <c r="GL14" i="15"/>
  <c r="GK28" i="15"/>
  <c r="GP28" i="15"/>
  <c r="GQ28" i="15" s="1"/>
  <c r="GK15" i="15"/>
  <c r="GP15" i="15"/>
  <c r="GQ15" i="15" s="1"/>
  <c r="GS15" i="15"/>
  <c r="GL15" i="15"/>
  <c r="GP12" i="15"/>
  <c r="GQ12" i="15" s="1"/>
  <c r="GL12" i="15"/>
  <c r="GK12" i="15"/>
  <c r="GS12" i="15"/>
  <c r="GK24" i="15"/>
  <c r="GM24" i="15"/>
  <c r="GJ38" i="15"/>
  <c r="GS24" i="15"/>
  <c r="GP24" i="15"/>
  <c r="GQ24" i="15" s="1"/>
  <c r="GW16" i="15" s="1"/>
  <c r="GS22" i="15"/>
  <c r="GX15" i="15" s="1"/>
  <c r="GJ22" i="15"/>
  <c r="GK22" i="15" s="1"/>
  <c r="DK11" i="15"/>
  <c r="DH11" i="15"/>
  <c r="DI11" i="15" s="1"/>
  <c r="GJ23" i="15"/>
  <c r="GK23" i="15" s="1"/>
  <c r="P233" i="15"/>
  <c r="P234" i="15" s="1"/>
  <c r="P235" i="15" s="1"/>
  <c r="P236" i="15" s="1"/>
  <c r="P237" i="15" s="1"/>
  <c r="P238" i="15" s="1"/>
  <c r="P239" i="15" s="1"/>
  <c r="P240" i="15" s="1"/>
  <c r="P241" i="15" s="1"/>
  <c r="P242" i="15" s="1"/>
  <c r="P243" i="15" s="1"/>
  <c r="P244" i="15" s="1"/>
  <c r="P245" i="15" s="1"/>
  <c r="P246" i="15" s="1"/>
  <c r="P247" i="15" s="1"/>
  <c r="P248" i="15" s="1"/>
  <c r="P249" i="15" s="1"/>
  <c r="P250" i="15" s="1"/>
  <c r="P251" i="15" s="1"/>
  <c r="P252" i="15" s="1"/>
  <c r="P253" i="15" s="1"/>
  <c r="P254" i="15" s="1"/>
  <c r="P255" i="15" s="1"/>
  <c r="P256" i="15" s="1"/>
  <c r="P257" i="15" s="1"/>
  <c r="GJ27" i="15"/>
  <c r="GL27" i="15" s="1"/>
  <c r="GP13" i="15"/>
  <c r="GQ13" i="15" s="1"/>
  <c r="DK12" i="15"/>
  <c r="DH12" i="15"/>
  <c r="DI12" i="15" s="1"/>
  <c r="GS13" i="15"/>
  <c r="GS23" i="15"/>
  <c r="EH12" i="15"/>
  <c r="EI12" i="15" s="1"/>
  <c r="EH11" i="15"/>
  <c r="EI11" i="15" s="1"/>
  <c r="GP27" i="15"/>
  <c r="GQ27" i="15" s="1"/>
  <c r="FY25" i="15"/>
  <c r="FZ25" i="15" s="1"/>
  <c r="GS25" i="15" s="1"/>
  <c r="GJ11" i="15"/>
  <c r="GK11" i="15" s="1"/>
  <c r="GS11" i="15"/>
  <c r="GJ26" i="15"/>
  <c r="GK26" i="15" s="1"/>
  <c r="GK36" i="15" s="1"/>
  <c r="GS26" i="15"/>
  <c r="GJ18" i="15"/>
  <c r="GM18" i="15" s="1"/>
  <c r="GM21" i="15"/>
  <c r="EY18" i="15"/>
  <c r="EZ18" i="15" s="1"/>
  <c r="FB18" i="15"/>
  <c r="ES18" i="15"/>
  <c r="ET18" i="15" s="1"/>
  <c r="FB17" i="15"/>
  <c r="EY17" i="15"/>
  <c r="EZ17" i="15" s="1"/>
  <c r="ES17" i="15"/>
  <c r="FB28" i="15"/>
  <c r="EY28" i="15"/>
  <c r="EZ28" i="15" s="1"/>
  <c r="ES28" i="15"/>
  <c r="FB19" i="15"/>
  <c r="EY19" i="15"/>
  <c r="EZ19" i="15" s="1"/>
  <c r="ES19" i="15"/>
  <c r="EY24" i="15"/>
  <c r="EZ24" i="15" s="1"/>
  <c r="FB24" i="15"/>
  <c r="ES24" i="15"/>
  <c r="EY21" i="15"/>
  <c r="EZ21" i="15" s="1"/>
  <c r="FB21" i="15"/>
  <c r="ES21" i="15"/>
  <c r="FB23" i="15"/>
  <c r="EY23" i="15"/>
  <c r="EZ23" i="15" s="1"/>
  <c r="ES23" i="15"/>
  <c r="FB13" i="15"/>
  <c r="ES13" i="15"/>
  <c r="EY13" i="15"/>
  <c r="EZ13" i="15" s="1"/>
  <c r="FB14" i="15"/>
  <c r="EY14" i="15"/>
  <c r="EZ14" i="15" s="1"/>
  <c r="ES14" i="15"/>
  <c r="ET14" i="15" s="1"/>
  <c r="FB26" i="15"/>
  <c r="EY26" i="15"/>
  <c r="EZ26" i="15" s="1"/>
  <c r="ES26" i="15"/>
  <c r="FB20" i="15"/>
  <c r="ES20" i="15"/>
  <c r="EY20" i="15"/>
  <c r="EZ20" i="15" s="1"/>
  <c r="EY15" i="15"/>
  <c r="EZ15" i="15" s="1"/>
  <c r="FB15" i="15"/>
  <c r="ES15" i="15"/>
  <c r="FB22" i="15"/>
  <c r="EY22" i="15"/>
  <c r="EZ22" i="15" s="1"/>
  <c r="ES22" i="15"/>
  <c r="ET22" i="15" s="1"/>
  <c r="GJ20" i="15"/>
  <c r="GP20" i="15"/>
  <c r="GQ20" i="15" s="1"/>
  <c r="GW14" i="15" s="1"/>
  <c r="GS20" i="15"/>
  <c r="GP18" i="15"/>
  <c r="GQ18" i="15" s="1"/>
  <c r="EH27" i="15"/>
  <c r="EI27" i="15" s="1"/>
  <c r="EH25" i="15"/>
  <c r="EI25" i="15" s="1"/>
  <c r="GP17" i="15"/>
  <c r="GQ17" i="15" s="1"/>
  <c r="GJ17" i="15"/>
  <c r="GL38" i="15"/>
  <c r="BI48" i="11"/>
  <c r="BI59" i="11"/>
  <c r="GL21" i="15"/>
  <c r="GK21" i="15"/>
  <c r="BC53" i="11"/>
  <c r="BC54" i="11" s="1"/>
  <c r="BE54" i="11"/>
  <c r="BH31" i="11"/>
  <c r="BA61" i="11"/>
  <c r="BC61" i="11" s="1"/>
  <c r="BG37" i="11"/>
  <c r="BG64" i="11"/>
  <c r="BA54" i="11"/>
  <c r="G120" i="3" s="1"/>
  <c r="BI37" i="11"/>
  <c r="BH41" i="11"/>
  <c r="BH64" i="11"/>
  <c r="BC51" i="11"/>
  <c r="BH63" i="11"/>
  <c r="BH61" i="11"/>
  <c r="BC27" i="11"/>
  <c r="BI26" i="11"/>
  <c r="BG23" i="11"/>
  <c r="BH39" i="11"/>
  <c r="BH42" i="11"/>
  <c r="BH52" i="11"/>
  <c r="BC60" i="11"/>
  <c r="BC52" i="11"/>
  <c r="BG56" i="11"/>
  <c r="BG46" i="11"/>
  <c r="BH53" i="11"/>
  <c r="BH30" i="11"/>
  <c r="BH62" i="11"/>
  <c r="JT17" i="15"/>
  <c r="JT12" i="15"/>
  <c r="JT20" i="15"/>
  <c r="JT13" i="15"/>
  <c r="ID14" i="15"/>
  <c r="JT15" i="15"/>
  <c r="JT21" i="15"/>
  <c r="JT19" i="15"/>
  <c r="JT14" i="15"/>
  <c r="JT26" i="15"/>
  <c r="JS30" i="15"/>
  <c r="JT24" i="15"/>
  <c r="ID24" i="15"/>
  <c r="ID15" i="15"/>
  <c r="ID12" i="15"/>
  <c r="ID20" i="15"/>
  <c r="ID17" i="15"/>
  <c r="ID21" i="15"/>
  <c r="ID28" i="15"/>
  <c r="GL13" i="15"/>
  <c r="GK13" i="15"/>
  <c r="GM13" i="15"/>
  <c r="BC16" i="11"/>
  <c r="BC49" i="11"/>
  <c r="BC19" i="11"/>
  <c r="BG48" i="11"/>
  <c r="BG59" i="11"/>
  <c r="BA50" i="11"/>
  <c r="BG26" i="11"/>
  <c r="BE32" i="11"/>
  <c r="BA17" i="11"/>
  <c r="BC17" i="11" s="1"/>
  <c r="BC40" i="11"/>
  <c r="BI51" i="11" s="1"/>
  <c r="BC41" i="11"/>
  <c r="BG40" i="11"/>
  <c r="BC42" i="11"/>
  <c r="BC20" i="11"/>
  <c r="BC21" i="11" s="1"/>
  <c r="BA39" i="11"/>
  <c r="BG38" i="11"/>
  <c r="BG42" i="11"/>
  <c r="BC31" i="11"/>
  <c r="BC30" i="11"/>
  <c r="BI30" i="11" s="1"/>
  <c r="BG29" i="11"/>
  <c r="BC29" i="11"/>
  <c r="BI29" i="11" s="1"/>
  <c r="BG60" i="11"/>
  <c r="BC36" i="11"/>
  <c r="BC33" i="11"/>
  <c r="BC35" i="11"/>
  <c r="BG33" i="11"/>
  <c r="BC34" i="11"/>
  <c r="BC38" i="11"/>
  <c r="BG53" i="11"/>
  <c r="BG51" i="11"/>
  <c r="BA36" i="11"/>
  <c r="BG34" i="11"/>
  <c r="BE65" i="11"/>
  <c r="BA21" i="11"/>
  <c r="D120" i="3" s="1"/>
  <c r="D182" i="3" s="1"/>
  <c r="BC12" i="11"/>
  <c r="BA58" i="11"/>
  <c r="BG55" i="11"/>
  <c r="BC58" i="11"/>
  <c r="BC57" i="11"/>
  <c r="BC55" i="11"/>
  <c r="BC56" i="11"/>
  <c r="BA47" i="11"/>
  <c r="BC45" i="11"/>
  <c r="BI45" i="11" s="1"/>
  <c r="BG44" i="11"/>
  <c r="BC44" i="11"/>
  <c r="BC46" i="11"/>
  <c r="BC47" i="11"/>
  <c r="BI47" i="11" s="1"/>
  <c r="BG57" i="11"/>
  <c r="BE43" i="11"/>
  <c r="BA25" i="11"/>
  <c r="BG24" i="11"/>
  <c r="BG30" i="11"/>
  <c r="BC23" i="11"/>
  <c r="BG22" i="11"/>
  <c r="BC24" i="11"/>
  <c r="BC22" i="11"/>
  <c r="BI22" i="11" s="1"/>
  <c r="BC25" i="11"/>
  <c r="BA28" i="11"/>
  <c r="BG27" i="11"/>
  <c r="BG49" i="11"/>
  <c r="BC62" i="11"/>
  <c r="BI62" i="11" s="1"/>
  <c r="BG62" i="11"/>
  <c r="BC63" i="11"/>
  <c r="BI63" i="11" s="1"/>
  <c r="BC64" i="11"/>
  <c r="BI64" i="11" s="1"/>
  <c r="BG35" i="11"/>
  <c r="BG45" i="11"/>
  <c r="BC14" i="11"/>
  <c r="BC13" i="11"/>
  <c r="BA14" i="11"/>
  <c r="BB43" i="11"/>
  <c r="BA32" i="11"/>
  <c r="E120" i="3" s="1"/>
  <c r="E182" i="3" s="1"/>
  <c r="BB32" i="11"/>
  <c r="BH32" i="11" s="1"/>
  <c r="BB65" i="11"/>
  <c r="BH65" i="11" s="1"/>
  <c r="BB54" i="11"/>
  <c r="BA43" i="11"/>
  <c r="G182" i="3" l="1"/>
  <c r="M120" i="3"/>
  <c r="GM38" i="15"/>
  <c r="GK19" i="15"/>
  <c r="GM19" i="15"/>
  <c r="GN28" i="15"/>
  <c r="GX14" i="15"/>
  <c r="GK38" i="15"/>
  <c r="GL11" i="15"/>
  <c r="GN15" i="15"/>
  <c r="GN14" i="15"/>
  <c r="GW18" i="15"/>
  <c r="GN12" i="15"/>
  <c r="GX13" i="15"/>
  <c r="GX21" i="15" s="1"/>
  <c r="GL22" i="15"/>
  <c r="GM22" i="15"/>
  <c r="GM11" i="15"/>
  <c r="GN24" i="15"/>
  <c r="GN38" i="15" s="1"/>
  <c r="GL26" i="15"/>
  <c r="GL36" i="15" s="1"/>
  <c r="GM26" i="15"/>
  <c r="GM36" i="15" s="1"/>
  <c r="GX16" i="15"/>
  <c r="GM23" i="15"/>
  <c r="GL23" i="15"/>
  <c r="GL37" i="15" s="1"/>
  <c r="GJ33" i="15"/>
  <c r="GK18" i="15"/>
  <c r="EU15" i="15"/>
  <c r="EV15" i="15"/>
  <c r="GX17" i="15"/>
  <c r="GX23" i="15" s="1"/>
  <c r="DK14" i="15"/>
  <c r="DH19" i="15"/>
  <c r="DI19" i="15" s="1"/>
  <c r="DK19" i="15"/>
  <c r="DK22" i="15"/>
  <c r="DH22" i="15"/>
  <c r="DI22" i="15" s="1"/>
  <c r="DK15" i="15"/>
  <c r="DH15" i="15"/>
  <c r="DI15" i="15" s="1"/>
  <c r="DK24" i="15"/>
  <c r="DH24" i="15"/>
  <c r="DH13" i="15"/>
  <c r="DI13" i="15" s="1"/>
  <c r="DK13" i="15"/>
  <c r="DK26" i="15"/>
  <c r="DH26" i="15"/>
  <c r="DI26" i="15" s="1"/>
  <c r="DH18" i="15"/>
  <c r="DI18" i="15" s="1"/>
  <c r="DK18" i="15"/>
  <c r="DH21" i="15"/>
  <c r="DI21" i="15" s="1"/>
  <c r="DK21" i="15"/>
  <c r="DH28" i="15"/>
  <c r="DI28" i="15" s="1"/>
  <c r="DK28" i="15"/>
  <c r="DK20" i="15"/>
  <c r="DH20" i="15"/>
  <c r="DI20" i="15" s="1"/>
  <c r="DK23" i="15"/>
  <c r="DH23" i="15"/>
  <c r="DI23" i="15" s="1"/>
  <c r="DK17" i="15"/>
  <c r="DH17" i="15"/>
  <c r="DI17" i="15" s="1"/>
  <c r="GK27" i="15"/>
  <c r="GK37" i="15" s="1"/>
  <c r="GJ36" i="15"/>
  <c r="GM27" i="15"/>
  <c r="GJ37" i="15"/>
  <c r="EV24" i="15"/>
  <c r="EU24" i="15"/>
  <c r="ET24" i="15"/>
  <c r="ES38" i="15"/>
  <c r="EV28" i="15"/>
  <c r="EU28" i="15"/>
  <c r="ET28" i="15"/>
  <c r="EV14" i="15"/>
  <c r="EU14" i="15"/>
  <c r="EV17" i="15"/>
  <c r="EU17" i="15"/>
  <c r="ET17" i="15"/>
  <c r="EU23" i="15"/>
  <c r="ET23" i="15"/>
  <c r="EV23" i="15"/>
  <c r="DK25" i="15"/>
  <c r="DH25" i="15"/>
  <c r="DI25" i="15" s="1"/>
  <c r="EV20" i="15"/>
  <c r="EU20" i="15"/>
  <c r="ET20" i="15"/>
  <c r="ET15" i="15"/>
  <c r="EV22" i="15"/>
  <c r="EU22" i="15"/>
  <c r="EV13" i="15"/>
  <c r="ET13" i="15"/>
  <c r="EU13" i="15"/>
  <c r="EV21" i="15"/>
  <c r="ET21" i="15"/>
  <c r="EU21" i="15"/>
  <c r="ET19" i="15"/>
  <c r="EV19" i="15"/>
  <c r="EU19" i="15"/>
  <c r="ES36" i="15"/>
  <c r="ET26" i="15"/>
  <c r="EU26" i="15"/>
  <c r="EU36" i="15" s="1"/>
  <c r="EV26" i="15"/>
  <c r="EV36" i="15" s="1"/>
  <c r="EU18" i="15"/>
  <c r="EV18" i="15"/>
  <c r="DK27" i="15"/>
  <c r="DH27" i="15"/>
  <c r="DI27" i="15" s="1"/>
  <c r="EY11" i="15"/>
  <c r="EZ11" i="15" s="1"/>
  <c r="FB11" i="15"/>
  <c r="ES11" i="15"/>
  <c r="FB12" i="15"/>
  <c r="ES12" i="15"/>
  <c r="ET12" i="15" s="1"/>
  <c r="EY12" i="15"/>
  <c r="EZ12" i="15" s="1"/>
  <c r="GJ25" i="15"/>
  <c r="GJ35" i="15" s="1"/>
  <c r="GW22" i="15"/>
  <c r="GP25" i="15"/>
  <c r="GQ25" i="15" s="1"/>
  <c r="GW17" i="15" s="1"/>
  <c r="FF16" i="15"/>
  <c r="FG16" i="15"/>
  <c r="GL18" i="15"/>
  <c r="EY25" i="15"/>
  <c r="EZ25" i="15" s="1"/>
  <c r="FF17" i="15" s="1"/>
  <c r="FB25" i="15"/>
  <c r="FG17" i="15" s="1"/>
  <c r="ES25" i="15"/>
  <c r="FB27" i="15"/>
  <c r="FG18" i="15" s="1"/>
  <c r="EY27" i="15"/>
  <c r="EZ27" i="15" s="1"/>
  <c r="FF18" i="15" s="1"/>
  <c r="ES27" i="15"/>
  <c r="FG15" i="15"/>
  <c r="FF15" i="15"/>
  <c r="GS30" i="15"/>
  <c r="GJ34" i="15"/>
  <c r="FF14" i="15"/>
  <c r="GW13" i="15"/>
  <c r="GW21" i="15" s="1"/>
  <c r="GL20" i="15"/>
  <c r="GM20" i="15"/>
  <c r="GK20" i="15"/>
  <c r="FG14" i="15"/>
  <c r="GK17" i="15"/>
  <c r="GL17" i="15"/>
  <c r="GM17" i="15"/>
  <c r="BI27" i="11"/>
  <c r="BI23" i="11"/>
  <c r="BI44" i="11"/>
  <c r="BI38" i="11"/>
  <c r="GN21" i="15"/>
  <c r="GN13" i="15"/>
  <c r="BH43" i="11"/>
  <c r="BI57" i="11"/>
  <c r="BI36" i="11"/>
  <c r="BI46" i="11"/>
  <c r="BH54" i="11"/>
  <c r="BG58" i="11"/>
  <c r="BI42" i="11"/>
  <c r="BI58" i="11"/>
  <c r="BG43" i="11"/>
  <c r="F120" i="3"/>
  <c r="F182" i="3" s="1"/>
  <c r="BI34" i="11"/>
  <c r="BG65" i="11"/>
  <c r="BI25" i="11"/>
  <c r="BI41" i="11"/>
  <c r="BI52" i="11"/>
  <c r="BC32" i="11"/>
  <c r="BI32" i="11" s="1"/>
  <c r="BI31" i="11"/>
  <c r="BI56" i="11"/>
  <c r="BI35" i="11"/>
  <c r="BI40" i="11"/>
  <c r="BI49" i="11"/>
  <c r="BI60" i="11"/>
  <c r="BI53" i="11"/>
  <c r="BI24" i="11"/>
  <c r="BI55" i="11"/>
  <c r="BI33" i="11"/>
  <c r="KB14" i="15"/>
  <c r="KG14" i="15" s="1"/>
  <c r="JT11" i="15"/>
  <c r="JQ30" i="15"/>
  <c r="JR30" i="15"/>
  <c r="JT22" i="15"/>
  <c r="KB15" i="15" s="1"/>
  <c r="KG15" i="15" s="1"/>
  <c r="JT18" i="15"/>
  <c r="JT23" i="15"/>
  <c r="KB16" i="15" s="1"/>
  <c r="JT25" i="15"/>
  <c r="KB17" i="15" s="1"/>
  <c r="KG17" i="15" s="1"/>
  <c r="KL17" i="15" s="1"/>
  <c r="JT27" i="15"/>
  <c r="KB18" i="15" s="1"/>
  <c r="KG18" i="15" s="1"/>
  <c r="KL18" i="15" s="1"/>
  <c r="IC30" i="15"/>
  <c r="ID22" i="15"/>
  <c r="IL15" i="15" s="1"/>
  <c r="ID13" i="15"/>
  <c r="IA30" i="15"/>
  <c r="ID27" i="15"/>
  <c r="IL18" i="15" s="1"/>
  <c r="ID18" i="15"/>
  <c r="ID23" i="15"/>
  <c r="IL16" i="15" s="1"/>
  <c r="IB30" i="15"/>
  <c r="ID26" i="15"/>
  <c r="ID19" i="15"/>
  <c r="IL14" i="15" s="1"/>
  <c r="ID25" i="15"/>
  <c r="BG47" i="11"/>
  <c r="BG50" i="11"/>
  <c r="BG32" i="11"/>
  <c r="BC50" i="11"/>
  <c r="BG61" i="11"/>
  <c r="BC65" i="11"/>
  <c r="BI65" i="11" s="1"/>
  <c r="BG25" i="11"/>
  <c r="BG54" i="11"/>
  <c r="BG36" i="11"/>
  <c r="BG39" i="11"/>
  <c r="BC39" i="11"/>
  <c r="BC28" i="11"/>
  <c r="BI28" i="11" s="1"/>
  <c r="BG28" i="11"/>
  <c r="BC43" i="11"/>
  <c r="GK33" i="15" l="1"/>
  <c r="GN19" i="15"/>
  <c r="GN11" i="15"/>
  <c r="DI24" i="15"/>
  <c r="GX22" i="15"/>
  <c r="GL33" i="15"/>
  <c r="DO15" i="15"/>
  <c r="GN22" i="15"/>
  <c r="GV15" i="15" s="1"/>
  <c r="GW23" i="15"/>
  <c r="GW24" i="15" s="1"/>
  <c r="GW26" i="15" s="1"/>
  <c r="EW14" i="15"/>
  <c r="GM33" i="15"/>
  <c r="GQ30" i="15"/>
  <c r="GN26" i="15"/>
  <c r="GN36" i="15" s="1"/>
  <c r="GP30" i="15"/>
  <c r="GN23" i="15"/>
  <c r="GV16" i="15" s="1"/>
  <c r="GX19" i="15"/>
  <c r="GM37" i="15"/>
  <c r="GM25" i="15"/>
  <c r="GM35" i="15" s="1"/>
  <c r="GK25" i="15"/>
  <c r="GK35" i="15" s="1"/>
  <c r="DH14" i="15"/>
  <c r="DI14" i="15" s="1"/>
  <c r="GL25" i="15"/>
  <c r="GL35" i="15" s="1"/>
  <c r="GJ30" i="15"/>
  <c r="FG13" i="15"/>
  <c r="FG21" i="15" s="1"/>
  <c r="FF13" i="15"/>
  <c r="DO14" i="15"/>
  <c r="DO18" i="15"/>
  <c r="DP13" i="15"/>
  <c r="DP21" i="15" s="1"/>
  <c r="DP17" i="15"/>
  <c r="DP14" i="15"/>
  <c r="DP18" i="15"/>
  <c r="DP15" i="15"/>
  <c r="DP16" i="15"/>
  <c r="DO17" i="15"/>
  <c r="GN18" i="15"/>
  <c r="GN27" i="15"/>
  <c r="GV18" i="15" s="1"/>
  <c r="EW23" i="15"/>
  <c r="FG22" i="15"/>
  <c r="EW24" i="15"/>
  <c r="EW22" i="15"/>
  <c r="EW26" i="15"/>
  <c r="EW36" i="15" s="1"/>
  <c r="EV38" i="15"/>
  <c r="EW17" i="15"/>
  <c r="DK30" i="15"/>
  <c r="ES37" i="15"/>
  <c r="ET27" i="15"/>
  <c r="EV27" i="15"/>
  <c r="EV37" i="15" s="1"/>
  <c r="EU27" i="15"/>
  <c r="EU37" i="15" s="1"/>
  <c r="EW18" i="15"/>
  <c r="EW19" i="15"/>
  <c r="EW28" i="15"/>
  <c r="ET38" i="15"/>
  <c r="EU38" i="15"/>
  <c r="GX24" i="15"/>
  <c r="GX26" i="15" s="1"/>
  <c r="EW13" i="15"/>
  <c r="ET36" i="15"/>
  <c r="ES34" i="15"/>
  <c r="EV12" i="15"/>
  <c r="EV34" i="15" s="1"/>
  <c r="EU12" i="15"/>
  <c r="EU34" i="15" s="1"/>
  <c r="EW20" i="15"/>
  <c r="ES33" i="15"/>
  <c r="ET11" i="15"/>
  <c r="EV11" i="15"/>
  <c r="EV33" i="15" s="1"/>
  <c r="EU11" i="15"/>
  <c r="EU33" i="15" s="1"/>
  <c r="EW15" i="15"/>
  <c r="ES35" i="15"/>
  <c r="EV25" i="15"/>
  <c r="EV35" i="15" s="1"/>
  <c r="EU25" i="15"/>
  <c r="EU35" i="15" s="1"/>
  <c r="ET25" i="15"/>
  <c r="EW21" i="15"/>
  <c r="FF22" i="15"/>
  <c r="GW19" i="15"/>
  <c r="GM34" i="15"/>
  <c r="GL34" i="15"/>
  <c r="GK34" i="15"/>
  <c r="EY30" i="15"/>
  <c r="EZ30" i="15"/>
  <c r="FG23" i="15"/>
  <c r="ET34" i="15"/>
  <c r="FB30" i="15"/>
  <c r="GN20" i="15"/>
  <c r="GV14" i="15" s="1"/>
  <c r="ES30" i="15"/>
  <c r="FF23" i="15"/>
  <c r="GN17" i="15"/>
  <c r="H120" i="3"/>
  <c r="H182" i="3" s="1"/>
  <c r="BI43" i="11"/>
  <c r="M182" i="3"/>
  <c r="BI39" i="11"/>
  <c r="BI54" i="11"/>
  <c r="BI50" i="11"/>
  <c r="KL15" i="15"/>
  <c r="KL23" i="15" s="1"/>
  <c r="D33" i="3" s="1"/>
  <c r="D118" i="3" s="1"/>
  <c r="KG23" i="15"/>
  <c r="E33" i="3" s="1"/>
  <c r="E118" i="3" s="1"/>
  <c r="KL14" i="15"/>
  <c r="BI61" i="11"/>
  <c r="KB22" i="15"/>
  <c r="F32" i="3" s="1"/>
  <c r="F117" i="3" s="1"/>
  <c r="F178" i="3" s="1"/>
  <c r="KG16" i="15"/>
  <c r="KL16" i="15" s="1"/>
  <c r="KB23" i="15"/>
  <c r="F33" i="3" s="1"/>
  <c r="F118" i="3" s="1"/>
  <c r="KB13" i="15"/>
  <c r="KG13" i="15" s="1"/>
  <c r="IL17" i="15"/>
  <c r="IL23" i="15" s="1"/>
  <c r="G33" i="3" s="1"/>
  <c r="G118" i="3" s="1"/>
  <c r="M118" i="3" s="1"/>
  <c r="JT30" i="15"/>
  <c r="IL22" i="15"/>
  <c r="G32" i="3" s="1"/>
  <c r="G117" i="3" s="1"/>
  <c r="IL13" i="15"/>
  <c r="ID30" i="15"/>
  <c r="F75" i="11"/>
  <c r="G178" i="3" l="1"/>
  <c r="M117" i="3"/>
  <c r="GN33" i="15"/>
  <c r="DO16" i="15"/>
  <c r="DO22" i="15" s="1"/>
  <c r="DI30" i="15"/>
  <c r="GM30" i="15"/>
  <c r="GV22" i="15"/>
  <c r="H32" i="3" s="1"/>
  <c r="H117" i="3" s="1"/>
  <c r="H178" i="3" s="1"/>
  <c r="GK30" i="15"/>
  <c r="DO13" i="15"/>
  <c r="DO21" i="15" s="1"/>
  <c r="GN25" i="15"/>
  <c r="GN35" i="15" s="1"/>
  <c r="GN37" i="15"/>
  <c r="DH30" i="15"/>
  <c r="GL30" i="15"/>
  <c r="FG19" i="15"/>
  <c r="FE14" i="15"/>
  <c r="FG24" i="15"/>
  <c r="FG26" i="15" s="1"/>
  <c r="DP22" i="15"/>
  <c r="DP23" i="15"/>
  <c r="DP19" i="15"/>
  <c r="DO23" i="15"/>
  <c r="FE16" i="15"/>
  <c r="EW38" i="15"/>
  <c r="FE15" i="15"/>
  <c r="EW25" i="15"/>
  <c r="FE17" i="15" s="1"/>
  <c r="EW11" i="15"/>
  <c r="ET33" i="15"/>
  <c r="EV30" i="15"/>
  <c r="EW12" i="15"/>
  <c r="EW34" i="15" s="1"/>
  <c r="EW27" i="15"/>
  <c r="ET37" i="15"/>
  <c r="EU30" i="15"/>
  <c r="ET35" i="15"/>
  <c r="ET30" i="15"/>
  <c r="FF21" i="15"/>
  <c r="FF24" i="15" s="1"/>
  <c r="FF19" i="15"/>
  <c r="GN34" i="15"/>
  <c r="GV13" i="15"/>
  <c r="GV21" i="15" s="1"/>
  <c r="KL22" i="15"/>
  <c r="D32" i="3" s="1"/>
  <c r="D117" i="3" s="1"/>
  <c r="D178" i="3" s="1"/>
  <c r="KG21" i="15"/>
  <c r="E31" i="3" s="1"/>
  <c r="KL13" i="15"/>
  <c r="KG22" i="15"/>
  <c r="E32" i="3" s="1"/>
  <c r="E117" i="3" s="1"/>
  <c r="E178" i="3" s="1"/>
  <c r="KB19" i="15"/>
  <c r="KB21" i="15"/>
  <c r="F31" i="3" s="1"/>
  <c r="IL21" i="15"/>
  <c r="IL19" i="15"/>
  <c r="Y10" i="13"/>
  <c r="B42" i="13"/>
  <c r="B25" i="13"/>
  <c r="C25" i="13"/>
  <c r="AB60" i="13"/>
  <c r="Z60" i="13"/>
  <c r="Y60" i="13"/>
  <c r="Y59" i="13"/>
  <c r="AA59" i="13" s="1"/>
  <c r="Y58" i="13"/>
  <c r="AC58" i="13" s="1"/>
  <c r="AB57" i="13"/>
  <c r="Y57" i="13"/>
  <c r="AA57" i="13" s="1"/>
  <c r="Y55" i="13"/>
  <c r="AA55" i="13" s="1"/>
  <c r="X54" i="13"/>
  <c r="W54" i="13"/>
  <c r="P79" i="13"/>
  <c r="Y53" i="13"/>
  <c r="Y52" i="13"/>
  <c r="Y25" i="13"/>
  <c r="Y24" i="13"/>
  <c r="Y23" i="13"/>
  <c r="Y21" i="13"/>
  <c r="Y20" i="13"/>
  <c r="AB54" i="13"/>
  <c r="T59" i="13"/>
  <c r="Y15" i="13"/>
  <c r="Y14" i="13"/>
  <c r="AB55" i="13"/>
  <c r="T57" i="13"/>
  <c r="Y13" i="13"/>
  <c r="T56" i="13"/>
  <c r="Y12" i="13"/>
  <c r="T55" i="13"/>
  <c r="Y11" i="13"/>
  <c r="T54" i="13"/>
  <c r="AC38" i="13"/>
  <c r="Z38" i="13" s="1"/>
  <c r="Y38" i="13"/>
  <c r="W38" i="13"/>
  <c r="AC36" i="13"/>
  <c r="AC35" i="13"/>
  <c r="Z35" i="13" s="1"/>
  <c r="Y35" i="13"/>
  <c r="W35" i="13"/>
  <c r="AC34" i="13"/>
  <c r="Z34" i="13" s="1"/>
  <c r="Y34" i="13"/>
  <c r="W34" i="13"/>
  <c r="AC33" i="13"/>
  <c r="Z33" i="13" s="1"/>
  <c r="Y33" i="13"/>
  <c r="W33" i="13"/>
  <c r="AC32" i="13"/>
  <c r="Z32" i="13" s="1"/>
  <c r="Y32" i="13"/>
  <c r="W32" i="13"/>
  <c r="O47" i="13"/>
  <c r="U46" i="13"/>
  <c r="U45" i="13" s="1"/>
  <c r="S46" i="13"/>
  <c r="T45" i="13" s="1"/>
  <c r="AI55" i="13"/>
  <c r="X45" i="13"/>
  <c r="Y44" i="13" s="1"/>
  <c r="B73" i="12"/>
  <c r="B60" i="12"/>
  <c r="B47" i="12"/>
  <c r="B34" i="12"/>
  <c r="C35" i="3" s="1"/>
  <c r="B21" i="12"/>
  <c r="F141" i="13" l="1"/>
  <c r="G141" i="13" s="1"/>
  <c r="F124" i="13"/>
  <c r="G124" i="13" s="1"/>
  <c r="F107" i="13"/>
  <c r="G107" i="13" s="1"/>
  <c r="F142" i="13"/>
  <c r="G142" i="13" s="1"/>
  <c r="F125" i="13"/>
  <c r="G125" i="13" s="1"/>
  <c r="F108" i="13"/>
  <c r="G108" i="13" s="1"/>
  <c r="F143" i="13"/>
  <c r="G143" i="13" s="1"/>
  <c r="F126" i="13"/>
  <c r="G126" i="13" s="1"/>
  <c r="F109" i="13"/>
  <c r="G109" i="13" s="1"/>
  <c r="F139" i="13"/>
  <c r="G139" i="13" s="1"/>
  <c r="F37" i="13"/>
  <c r="F122" i="13"/>
  <c r="G122" i="13" s="1"/>
  <c r="F105" i="13"/>
  <c r="G105" i="13" s="1"/>
  <c r="F129" i="13"/>
  <c r="G129" i="13" s="1"/>
  <c r="F112" i="13"/>
  <c r="G112" i="13" s="1"/>
  <c r="F95" i="13"/>
  <c r="G95" i="13" s="1"/>
  <c r="F14" i="13"/>
  <c r="F133" i="13"/>
  <c r="F116" i="13"/>
  <c r="F99" i="13"/>
  <c r="F128" i="13"/>
  <c r="F94" i="13"/>
  <c r="F111" i="13"/>
  <c r="F138" i="13"/>
  <c r="F121" i="13"/>
  <c r="F104" i="13"/>
  <c r="F131" i="13"/>
  <c r="G131" i="13" s="1"/>
  <c r="F114" i="13"/>
  <c r="G114" i="13" s="1"/>
  <c r="F97" i="13"/>
  <c r="G97" i="13" s="1"/>
  <c r="F130" i="13"/>
  <c r="G130" i="13" s="1"/>
  <c r="F113" i="13"/>
  <c r="G113" i="13" s="1"/>
  <c r="F96" i="13"/>
  <c r="G96" i="13" s="1"/>
  <c r="J34" i="3"/>
  <c r="I34" i="3"/>
  <c r="I119" i="3"/>
  <c r="DO24" i="15"/>
  <c r="GN30" i="15"/>
  <c r="GV17" i="15"/>
  <c r="GV23" i="15" s="1"/>
  <c r="H33" i="3" s="1"/>
  <c r="H118" i="3" s="1"/>
  <c r="DO19" i="15"/>
  <c r="DN15" i="15"/>
  <c r="DP24" i="15"/>
  <c r="DN14" i="15"/>
  <c r="DN13" i="15"/>
  <c r="DN16" i="15"/>
  <c r="EW35" i="15"/>
  <c r="FE13" i="15"/>
  <c r="FE21" i="15" s="1"/>
  <c r="I31" i="3" s="1"/>
  <c r="I116" i="3" s="1"/>
  <c r="FE22" i="15"/>
  <c r="I32" i="3" s="1"/>
  <c r="I117" i="3" s="1"/>
  <c r="DN17" i="15"/>
  <c r="DN18" i="15"/>
  <c r="FF26" i="15"/>
  <c r="EW33" i="15"/>
  <c r="EW30" i="15"/>
  <c r="FE18" i="15"/>
  <c r="FE23" i="15" s="1"/>
  <c r="I33" i="3" s="1"/>
  <c r="I118" i="3" s="1"/>
  <c r="I179" i="3" s="1"/>
  <c r="EW37" i="15"/>
  <c r="C34" i="3"/>
  <c r="E116" i="3"/>
  <c r="E177" i="3" s="1"/>
  <c r="E30" i="3"/>
  <c r="H31" i="3"/>
  <c r="KL19" i="15"/>
  <c r="KL21" i="15"/>
  <c r="IL24" i="15"/>
  <c r="G31" i="3"/>
  <c r="F116" i="3"/>
  <c r="F177" i="3" s="1"/>
  <c r="F30" i="3"/>
  <c r="F27" i="13"/>
  <c r="G27" i="13" s="1"/>
  <c r="F78" i="13"/>
  <c r="G78" i="13" s="1"/>
  <c r="F44" i="13"/>
  <c r="G44" i="13" s="1"/>
  <c r="F10" i="13"/>
  <c r="G10" i="13" s="1"/>
  <c r="F61" i="13"/>
  <c r="G61" i="13" s="1"/>
  <c r="F29" i="13"/>
  <c r="G29" i="13" s="1"/>
  <c r="F46" i="13"/>
  <c r="G46" i="13" s="1"/>
  <c r="F12" i="13"/>
  <c r="G12" i="13" s="1"/>
  <c r="F80" i="13"/>
  <c r="F63" i="13"/>
  <c r="G63" i="13" s="1"/>
  <c r="F31" i="13"/>
  <c r="G31" i="13" s="1"/>
  <c r="F65" i="13"/>
  <c r="F82" i="13"/>
  <c r="F48" i="13"/>
  <c r="F36" i="13"/>
  <c r="F70" i="13"/>
  <c r="F87" i="13"/>
  <c r="F53" i="13"/>
  <c r="F19" i="13"/>
  <c r="F41" i="13"/>
  <c r="G41" i="13" s="1"/>
  <c r="F75" i="13"/>
  <c r="G75" i="13" s="1"/>
  <c r="F92" i="13"/>
  <c r="G92" i="13" s="1"/>
  <c r="F58" i="13"/>
  <c r="G58" i="13" s="1"/>
  <c r="F24" i="13"/>
  <c r="G24" i="13" s="1"/>
  <c r="D69" i="3" s="1"/>
  <c r="F20" i="13"/>
  <c r="G20" i="13" s="1"/>
  <c r="H20" i="13" s="1"/>
  <c r="F54" i="13"/>
  <c r="G54" i="13" s="1"/>
  <c r="F88" i="13"/>
  <c r="G88" i="13" s="1"/>
  <c r="F71" i="13"/>
  <c r="G71" i="13" s="1"/>
  <c r="F26" i="13"/>
  <c r="G26" i="13" s="1"/>
  <c r="F43" i="13"/>
  <c r="F9" i="13"/>
  <c r="F77" i="13"/>
  <c r="G77" i="13" s="1"/>
  <c r="F60" i="13"/>
  <c r="F28" i="13"/>
  <c r="G28" i="13" s="1"/>
  <c r="F62" i="13"/>
  <c r="G62" i="13" s="1"/>
  <c r="F79" i="13"/>
  <c r="G79" i="13" s="1"/>
  <c r="F11" i="13"/>
  <c r="G11" i="13" s="1"/>
  <c r="F45" i="13"/>
  <c r="G45" i="13" s="1"/>
  <c r="F32" i="13"/>
  <c r="G32" i="13" s="1"/>
  <c r="F15" i="13"/>
  <c r="G15" i="13" s="1"/>
  <c r="F66" i="13"/>
  <c r="G66" i="13" s="1"/>
  <c r="F83" i="13"/>
  <c r="G83" i="13" s="1"/>
  <c r="L100" i="13" s="1"/>
  <c r="F49" i="13"/>
  <c r="G49" i="13" s="1"/>
  <c r="F39" i="13"/>
  <c r="F73" i="13"/>
  <c r="G73" i="13" s="1"/>
  <c r="F90" i="13"/>
  <c r="G90" i="13" s="1"/>
  <c r="F56" i="13"/>
  <c r="G56" i="13" s="1"/>
  <c r="F22" i="13"/>
  <c r="G22" i="13" s="1"/>
  <c r="D67" i="3" s="1"/>
  <c r="F40" i="13"/>
  <c r="F23" i="13"/>
  <c r="G23" i="13" s="1"/>
  <c r="D68" i="3" s="1"/>
  <c r="F74" i="13"/>
  <c r="G74" i="13" s="1"/>
  <c r="F91" i="13"/>
  <c r="G91" i="13" s="1"/>
  <c r="F57" i="13"/>
  <c r="G57" i="13" s="1"/>
  <c r="L29" i="13"/>
  <c r="P46" i="13"/>
  <c r="P45" i="13"/>
  <c r="KB24" i="15"/>
  <c r="KH22" i="15"/>
  <c r="KG19" i="15"/>
  <c r="KG24" i="15"/>
  <c r="AA60" i="13"/>
  <c r="Y43" i="13"/>
  <c r="AC55" i="13"/>
  <c r="P44" i="13"/>
  <c r="Y54" i="13"/>
  <c r="AC54" i="13" s="1"/>
  <c r="T43" i="13"/>
  <c r="Y36" i="13"/>
  <c r="Z36" i="13"/>
  <c r="T44" i="13"/>
  <c r="W36" i="13"/>
  <c r="AC60" i="13"/>
  <c r="T58" i="13"/>
  <c r="AC57" i="13"/>
  <c r="C42" i="13"/>
  <c r="AA38" i="13"/>
  <c r="P43" i="13"/>
  <c r="AA58" i="13"/>
  <c r="AC59" i="13"/>
  <c r="U44" i="13"/>
  <c r="BR64" i="12"/>
  <c r="BR63" i="12"/>
  <c r="BR62" i="12"/>
  <c r="BR61" i="12"/>
  <c r="BR60" i="12"/>
  <c r="I48" i="12"/>
  <c r="AJ61" i="12"/>
  <c r="AI72" i="12"/>
  <c r="AK85" i="12" s="1"/>
  <c r="AF72" i="12"/>
  <c r="AE72" i="12"/>
  <c r="AD72" i="12"/>
  <c r="AI71" i="12"/>
  <c r="AK84" i="12" s="1"/>
  <c r="AF71" i="12"/>
  <c r="AE71" i="12"/>
  <c r="AD71" i="12"/>
  <c r="AI70" i="12"/>
  <c r="AK83" i="12" s="1"/>
  <c r="AF70" i="12"/>
  <c r="AE70" i="12"/>
  <c r="AD70" i="12"/>
  <c r="AI67" i="12"/>
  <c r="AF67" i="12"/>
  <c r="AE67" i="12"/>
  <c r="AD67" i="12"/>
  <c r="AI66" i="12"/>
  <c r="AK79" i="12" s="1"/>
  <c r="AF66" i="12"/>
  <c r="AE66" i="12"/>
  <c r="AD66" i="12"/>
  <c r="AI64" i="12"/>
  <c r="AK77" i="12" s="1"/>
  <c r="AF64" i="12"/>
  <c r="AE64" i="12"/>
  <c r="AD64" i="12"/>
  <c r="AI63" i="12"/>
  <c r="AK76" i="12" s="1"/>
  <c r="AF63" i="12"/>
  <c r="AE63" i="12"/>
  <c r="AD63" i="12"/>
  <c r="AI62" i="12"/>
  <c r="AK75" i="12" s="1"/>
  <c r="AF62" i="12"/>
  <c r="AE62" i="12"/>
  <c r="AD62" i="12"/>
  <c r="AI61" i="12"/>
  <c r="AK74" i="12" s="1"/>
  <c r="AF61" i="12"/>
  <c r="AE61" i="12"/>
  <c r="AD61" i="12"/>
  <c r="S61" i="12"/>
  <c r="I61" i="12"/>
  <c r="T72" i="12"/>
  <c r="P72" i="12"/>
  <c r="U85" i="12" s="1"/>
  <c r="J72" i="12"/>
  <c r="F72" i="12"/>
  <c r="K85" i="12" s="1"/>
  <c r="T71" i="12"/>
  <c r="P71" i="12"/>
  <c r="U84" i="12" s="1"/>
  <c r="J71" i="12"/>
  <c r="F71" i="12"/>
  <c r="K84" i="12" s="1"/>
  <c r="T70" i="12"/>
  <c r="P70" i="12"/>
  <c r="U83" i="12" s="1"/>
  <c r="J70" i="12"/>
  <c r="F70" i="12"/>
  <c r="K83" i="12" s="1"/>
  <c r="R68" i="12"/>
  <c r="T81" i="12" s="1"/>
  <c r="O68" i="12"/>
  <c r="N68" i="12"/>
  <c r="M68" i="12"/>
  <c r="H68" i="12"/>
  <c r="J81" i="12" s="1"/>
  <c r="E68" i="12"/>
  <c r="D68" i="12"/>
  <c r="C68" i="12"/>
  <c r="T67" i="12"/>
  <c r="P67" i="12"/>
  <c r="U80" i="12" s="1"/>
  <c r="J67" i="12"/>
  <c r="F67" i="12"/>
  <c r="K80" i="12" s="1"/>
  <c r="T66" i="12"/>
  <c r="P66" i="12"/>
  <c r="U79" i="12" s="1"/>
  <c r="J66" i="12"/>
  <c r="F66" i="12"/>
  <c r="K79" i="12" s="1"/>
  <c r="R65" i="12"/>
  <c r="T78" i="12" s="1"/>
  <c r="O65" i="12"/>
  <c r="M65" i="12"/>
  <c r="H65" i="12"/>
  <c r="J78" i="12" s="1"/>
  <c r="E65" i="12"/>
  <c r="D65" i="12"/>
  <c r="C65" i="12"/>
  <c r="T64" i="12"/>
  <c r="P64" i="12"/>
  <c r="U77" i="12" s="1"/>
  <c r="J64" i="12"/>
  <c r="F64" i="12"/>
  <c r="K77" i="12" s="1"/>
  <c r="T63" i="12"/>
  <c r="P63" i="12"/>
  <c r="U76" i="12" s="1"/>
  <c r="N65" i="12"/>
  <c r="J63" i="12"/>
  <c r="K76" i="12"/>
  <c r="T62" i="12"/>
  <c r="P62" i="12"/>
  <c r="U75" i="12" s="1"/>
  <c r="J62" i="12"/>
  <c r="F62" i="12"/>
  <c r="K75" i="12" s="1"/>
  <c r="T61" i="12"/>
  <c r="P61" i="12"/>
  <c r="U74" i="12" s="1"/>
  <c r="J61" i="12"/>
  <c r="F61" i="12"/>
  <c r="R13" i="12"/>
  <c r="R16" i="12"/>
  <c r="R26" i="12"/>
  <c r="R29" i="12"/>
  <c r="R39" i="12"/>
  <c r="R42" i="12"/>
  <c r="R52" i="12"/>
  <c r="R55" i="12"/>
  <c r="AI12" i="12"/>
  <c r="AI15" i="12"/>
  <c r="AI23" i="12"/>
  <c r="T24" i="12"/>
  <c r="AI27" i="12"/>
  <c r="T41" i="12"/>
  <c r="T31" i="12"/>
  <c r="T45" i="12"/>
  <c r="T36" i="12"/>
  <c r="T53" i="12"/>
  <c r="T57" i="12"/>
  <c r="T48" i="12"/>
  <c r="AI51" i="12"/>
  <c r="AI59" i="12"/>
  <c r="H13" i="12"/>
  <c r="H16" i="12"/>
  <c r="H26" i="12"/>
  <c r="H29" i="12"/>
  <c r="H39" i="12"/>
  <c r="H42" i="12"/>
  <c r="H52" i="12"/>
  <c r="H55" i="12"/>
  <c r="J24" i="12"/>
  <c r="J41" i="12"/>
  <c r="J45" i="12"/>
  <c r="J36" i="12"/>
  <c r="J53" i="12"/>
  <c r="AI44" i="12"/>
  <c r="J48" i="12"/>
  <c r="AI9" i="12"/>
  <c r="AI10" i="12"/>
  <c r="AI11" i="12"/>
  <c r="AI14" i="12"/>
  <c r="AI18" i="12"/>
  <c r="AI19" i="12"/>
  <c r="AI22" i="12"/>
  <c r="AI25" i="12"/>
  <c r="AI33" i="12"/>
  <c r="AI35" i="12"/>
  <c r="AI37" i="12"/>
  <c r="AI38" i="12"/>
  <c r="AI41" i="12"/>
  <c r="AP21" i="12" s="1"/>
  <c r="AQ21" i="12" s="1"/>
  <c r="AI45" i="12"/>
  <c r="AI46" i="12"/>
  <c r="AI49" i="12"/>
  <c r="AI50" i="12"/>
  <c r="AI53" i="12"/>
  <c r="AI54" i="12"/>
  <c r="AP22" i="12" s="1"/>
  <c r="AQ22" i="12" s="1"/>
  <c r="AI57" i="12"/>
  <c r="AI58" i="12"/>
  <c r="T22" i="12"/>
  <c r="J23" i="12"/>
  <c r="J27" i="12"/>
  <c r="J28" i="12"/>
  <c r="J31" i="12"/>
  <c r="J35" i="12"/>
  <c r="J38" i="12"/>
  <c r="J40" i="12"/>
  <c r="J46" i="12"/>
  <c r="J50" i="12"/>
  <c r="J51" i="12"/>
  <c r="J54" i="12"/>
  <c r="J59" i="12"/>
  <c r="J22" i="12"/>
  <c r="T59" i="12"/>
  <c r="T23" i="12"/>
  <c r="T27" i="12"/>
  <c r="T28" i="12"/>
  <c r="T35" i="12"/>
  <c r="T38" i="12"/>
  <c r="T40" i="12"/>
  <c r="T46" i="12"/>
  <c r="T50" i="12"/>
  <c r="T51" i="12"/>
  <c r="T54" i="12"/>
  <c r="T58" i="12"/>
  <c r="P35" i="12"/>
  <c r="P36" i="12"/>
  <c r="P37" i="12"/>
  <c r="P38" i="12"/>
  <c r="P40" i="12"/>
  <c r="P41" i="12"/>
  <c r="P44" i="12"/>
  <c r="P45" i="12"/>
  <c r="P46" i="12"/>
  <c r="Q48" i="12"/>
  <c r="P51" i="12"/>
  <c r="P53" i="12"/>
  <c r="P54" i="12"/>
  <c r="P57" i="12"/>
  <c r="P58" i="12"/>
  <c r="P59" i="12"/>
  <c r="P9" i="12"/>
  <c r="Q9" i="12" s="1"/>
  <c r="F14" i="12"/>
  <c r="F15" i="12"/>
  <c r="F19" i="12"/>
  <c r="F27" i="12"/>
  <c r="F28" i="12"/>
  <c r="F32" i="12"/>
  <c r="F35" i="12"/>
  <c r="F36" i="12"/>
  <c r="F37" i="12"/>
  <c r="F38" i="12"/>
  <c r="F40" i="12"/>
  <c r="F41" i="12"/>
  <c r="F44" i="12"/>
  <c r="F45" i="12"/>
  <c r="F46" i="12"/>
  <c r="F48" i="12"/>
  <c r="F49" i="12"/>
  <c r="F50" i="12"/>
  <c r="F51" i="12"/>
  <c r="F53" i="12"/>
  <c r="F54" i="12"/>
  <c r="F57" i="12"/>
  <c r="F58" i="12"/>
  <c r="F59" i="12"/>
  <c r="CB64" i="12"/>
  <c r="BZ64" i="12"/>
  <c r="BP64" i="12"/>
  <c r="CB63" i="12"/>
  <c r="BZ63" i="12"/>
  <c r="BP63" i="12"/>
  <c r="CB62" i="12"/>
  <c r="BZ62" i="12"/>
  <c r="BP62" i="12"/>
  <c r="CB61" i="12"/>
  <c r="BZ61" i="12"/>
  <c r="BP61" i="12"/>
  <c r="BH23" i="12"/>
  <c r="BG23" i="12"/>
  <c r="BE23" i="12"/>
  <c r="BD23" i="12"/>
  <c r="AY23" i="12"/>
  <c r="AF59" i="12"/>
  <c r="AE59" i="12"/>
  <c r="AD59" i="12"/>
  <c r="CB60" i="12"/>
  <c r="BZ60" i="12"/>
  <c r="BP60" i="12"/>
  <c r="BH22" i="12"/>
  <c r="BG22" i="12"/>
  <c r="BE22" i="12"/>
  <c r="BD22" i="12"/>
  <c r="BC22" i="12"/>
  <c r="AY22" i="12"/>
  <c r="AZ22" i="12" s="1"/>
  <c r="AF58" i="12"/>
  <c r="AE58" i="12"/>
  <c r="AD58" i="12"/>
  <c r="BZ59" i="12"/>
  <c r="BP59" i="12"/>
  <c r="BH21" i="12"/>
  <c r="BG21" i="12"/>
  <c r="BE21" i="12"/>
  <c r="BD21" i="12"/>
  <c r="BC21" i="12"/>
  <c r="AY21" i="12"/>
  <c r="AZ21" i="12" s="1"/>
  <c r="AF57" i="12"/>
  <c r="AE57" i="12"/>
  <c r="AD57" i="12"/>
  <c r="BZ58" i="12"/>
  <c r="BP58" i="12"/>
  <c r="BH20" i="12"/>
  <c r="BG20" i="12"/>
  <c r="BE20" i="12"/>
  <c r="BD20" i="12"/>
  <c r="BC20" i="12"/>
  <c r="AY20" i="12"/>
  <c r="AZ20" i="12" s="1"/>
  <c r="BZ57" i="12"/>
  <c r="BP57" i="12"/>
  <c r="BH19" i="12"/>
  <c r="BG19" i="12"/>
  <c r="BE19" i="12"/>
  <c r="BD19" i="12"/>
  <c r="BC19" i="12"/>
  <c r="AY19" i="12"/>
  <c r="AZ19" i="12" s="1"/>
  <c r="O55" i="12"/>
  <c r="N55" i="12"/>
  <c r="M55" i="12"/>
  <c r="E55" i="12"/>
  <c r="D55" i="12"/>
  <c r="C55" i="12"/>
  <c r="BZ56" i="12"/>
  <c r="BP56" i="12"/>
  <c r="AF54" i="12"/>
  <c r="AE54" i="12"/>
  <c r="AD54" i="12"/>
  <c r="BZ55" i="12"/>
  <c r="BP55" i="12"/>
  <c r="BH17" i="12"/>
  <c r="BG17" i="12"/>
  <c r="BF17" i="12"/>
  <c r="BE17" i="12"/>
  <c r="BD17" i="12"/>
  <c r="BC17" i="12"/>
  <c r="AF53" i="12"/>
  <c r="AE53" i="12"/>
  <c r="AD53" i="12"/>
  <c r="BZ54" i="12"/>
  <c r="BP54" i="12"/>
  <c r="O52" i="12"/>
  <c r="M52" i="12"/>
  <c r="E52" i="12"/>
  <c r="D52" i="12"/>
  <c r="C52" i="12"/>
  <c r="BZ53" i="12"/>
  <c r="BP53" i="12"/>
  <c r="AF51" i="12"/>
  <c r="AE51" i="12"/>
  <c r="AD51" i="12"/>
  <c r="BZ52" i="12"/>
  <c r="BP52" i="12"/>
  <c r="AF50" i="12"/>
  <c r="AD50" i="12"/>
  <c r="N50" i="12"/>
  <c r="P50" i="12" s="1"/>
  <c r="BZ51" i="12"/>
  <c r="BP51" i="12"/>
  <c r="AF49" i="12"/>
  <c r="AE49" i="12"/>
  <c r="AD49" i="12"/>
  <c r="BZ50" i="12"/>
  <c r="BP50" i="12"/>
  <c r="AF48" i="12"/>
  <c r="AE48" i="12"/>
  <c r="AD48" i="12"/>
  <c r="BZ49" i="12"/>
  <c r="BP49" i="12"/>
  <c r="BZ48" i="12"/>
  <c r="BP48" i="12"/>
  <c r="AF46" i="12"/>
  <c r="AE46" i="12"/>
  <c r="AD46" i="12"/>
  <c r="BZ47" i="12"/>
  <c r="BP47" i="12"/>
  <c r="AF45" i="12"/>
  <c r="AE45" i="12"/>
  <c r="AD45" i="12"/>
  <c r="BZ46" i="12"/>
  <c r="BP46" i="12"/>
  <c r="AF44" i="12"/>
  <c r="AE44" i="12"/>
  <c r="AD44" i="12"/>
  <c r="BZ45" i="12"/>
  <c r="BP45" i="12"/>
  <c r="BZ44" i="12"/>
  <c r="BP44" i="12"/>
  <c r="O42" i="12"/>
  <c r="N42" i="12"/>
  <c r="M42" i="12"/>
  <c r="E42" i="12"/>
  <c r="D42" i="12"/>
  <c r="C42" i="12"/>
  <c r="BZ43" i="12"/>
  <c r="BP43" i="12"/>
  <c r="AF41" i="12"/>
  <c r="AE41" i="12"/>
  <c r="AD41" i="12"/>
  <c r="BZ42" i="12"/>
  <c r="BP42" i="12"/>
  <c r="AF40" i="12"/>
  <c r="AE40" i="12"/>
  <c r="AD40" i="12"/>
  <c r="BZ41" i="12"/>
  <c r="BP41" i="12"/>
  <c r="O39" i="12"/>
  <c r="N39" i="12"/>
  <c r="M39" i="12"/>
  <c r="E39" i="12"/>
  <c r="D39" i="12"/>
  <c r="C39" i="12"/>
  <c r="BZ40" i="12"/>
  <c r="BP40" i="12"/>
  <c r="AF38" i="12"/>
  <c r="AE38" i="12"/>
  <c r="AD38" i="12"/>
  <c r="BZ39" i="12"/>
  <c r="BP39" i="12"/>
  <c r="AF37" i="12"/>
  <c r="AE37" i="12"/>
  <c r="AD37" i="12"/>
  <c r="BZ38" i="12"/>
  <c r="BP38" i="12"/>
  <c r="AF36" i="12"/>
  <c r="AE36" i="12"/>
  <c r="AD36" i="12"/>
  <c r="BZ37" i="12"/>
  <c r="BP37" i="12"/>
  <c r="AF35" i="12"/>
  <c r="AE35" i="12"/>
  <c r="AD35" i="12"/>
  <c r="BZ36" i="12"/>
  <c r="BP36" i="12"/>
  <c r="BZ35" i="12"/>
  <c r="BP35" i="12"/>
  <c r="AD33" i="12"/>
  <c r="O33" i="12"/>
  <c r="N33" i="12"/>
  <c r="E33" i="12"/>
  <c r="D33" i="12"/>
  <c r="BZ34" i="12"/>
  <c r="BP34" i="12"/>
  <c r="AD32" i="12"/>
  <c r="O32" i="12"/>
  <c r="N32" i="12"/>
  <c r="BZ33" i="12"/>
  <c r="BP33" i="12"/>
  <c r="AD31" i="12"/>
  <c r="O31" i="12"/>
  <c r="N31" i="12"/>
  <c r="E31" i="12"/>
  <c r="D31" i="12"/>
  <c r="BZ32" i="12"/>
  <c r="BP32" i="12"/>
  <c r="BZ31" i="12"/>
  <c r="BP31" i="12"/>
  <c r="M29" i="12"/>
  <c r="E29" i="12"/>
  <c r="D29" i="12"/>
  <c r="C29" i="12"/>
  <c r="BZ30" i="12"/>
  <c r="BP30" i="12"/>
  <c r="AD28" i="12"/>
  <c r="O28" i="12"/>
  <c r="N28" i="12"/>
  <c r="BZ29" i="12"/>
  <c r="BP29" i="12"/>
  <c r="AD27" i="12"/>
  <c r="O27" i="12"/>
  <c r="N27" i="12"/>
  <c r="BZ28" i="12"/>
  <c r="BP28" i="12"/>
  <c r="M26" i="12"/>
  <c r="C26" i="12"/>
  <c r="BZ27" i="12"/>
  <c r="BP27" i="12"/>
  <c r="AD25" i="12"/>
  <c r="O25" i="12"/>
  <c r="N25" i="12"/>
  <c r="E25" i="12"/>
  <c r="D25" i="12"/>
  <c r="BZ26" i="12"/>
  <c r="BP26" i="12"/>
  <c r="AD24" i="12"/>
  <c r="O24" i="12"/>
  <c r="N24" i="12"/>
  <c r="E24" i="12"/>
  <c r="D24" i="12"/>
  <c r="BZ25" i="12"/>
  <c r="BP25" i="12"/>
  <c r="AD23" i="12"/>
  <c r="O23" i="12"/>
  <c r="N23" i="12"/>
  <c r="E23" i="12"/>
  <c r="D23" i="12"/>
  <c r="BZ24" i="12"/>
  <c r="BP24" i="12"/>
  <c r="AD22" i="12"/>
  <c r="O22" i="12"/>
  <c r="N22" i="12"/>
  <c r="E22" i="12"/>
  <c r="D22" i="12"/>
  <c r="BZ23" i="12"/>
  <c r="BP23" i="12"/>
  <c r="BZ22" i="12"/>
  <c r="BP22" i="12"/>
  <c r="AD20" i="12"/>
  <c r="O20" i="12"/>
  <c r="N20" i="12"/>
  <c r="E20" i="12"/>
  <c r="D20" i="12"/>
  <c r="BZ21" i="12"/>
  <c r="BP21" i="12"/>
  <c r="AD19" i="12"/>
  <c r="O19" i="12"/>
  <c r="AF19" i="12" s="1"/>
  <c r="N19" i="12"/>
  <c r="BZ20" i="12"/>
  <c r="BP20" i="12"/>
  <c r="AD18" i="12"/>
  <c r="O18" i="12"/>
  <c r="N18" i="12"/>
  <c r="E18" i="12"/>
  <c r="D18" i="12"/>
  <c r="BZ19" i="12"/>
  <c r="BP19" i="12"/>
  <c r="BZ18" i="12"/>
  <c r="BP18" i="12"/>
  <c r="M16" i="12"/>
  <c r="E16" i="12"/>
  <c r="D16" i="12"/>
  <c r="C16" i="12"/>
  <c r="BZ17" i="12"/>
  <c r="BP17" i="12"/>
  <c r="AD15" i="12"/>
  <c r="O15" i="12"/>
  <c r="AF15" i="12" s="1"/>
  <c r="N15" i="12"/>
  <c r="AE15" i="12" s="1"/>
  <c r="BZ16" i="12"/>
  <c r="BP16" i="12"/>
  <c r="AD14" i="12"/>
  <c r="O14" i="12"/>
  <c r="N14" i="12"/>
  <c r="BZ15" i="12"/>
  <c r="BP15" i="12"/>
  <c r="M13" i="12"/>
  <c r="C13" i="12"/>
  <c r="AD12" i="12"/>
  <c r="O12" i="12"/>
  <c r="N12" i="12"/>
  <c r="E12" i="12"/>
  <c r="D12" i="12"/>
  <c r="AD11" i="12"/>
  <c r="O11" i="12"/>
  <c r="N11" i="12"/>
  <c r="P11" i="12" s="1"/>
  <c r="E11" i="12"/>
  <c r="D11" i="12"/>
  <c r="AD10" i="12"/>
  <c r="O10" i="12"/>
  <c r="N10" i="12"/>
  <c r="D10" i="12"/>
  <c r="F10" i="12" s="1"/>
  <c r="AD9" i="12"/>
  <c r="E9" i="12"/>
  <c r="D9" i="12"/>
  <c r="AE9" i="12" s="1"/>
  <c r="BM2" i="12"/>
  <c r="BM3" i="12" s="1"/>
  <c r="BM4" i="12" s="1"/>
  <c r="BM5" i="12" s="1"/>
  <c r="BM6" i="12" s="1"/>
  <c r="BM7" i="12" s="1"/>
  <c r="BM8" i="12" s="1"/>
  <c r="BM9" i="12" s="1"/>
  <c r="BM10" i="12" s="1"/>
  <c r="BM11" i="12" s="1"/>
  <c r="BM12" i="12" s="1"/>
  <c r="BM13" i="12" s="1"/>
  <c r="BM14" i="12" s="1"/>
  <c r="BM15" i="12" s="1"/>
  <c r="BM16" i="12" s="1"/>
  <c r="BM17" i="12" s="1"/>
  <c r="BM18" i="12" s="1"/>
  <c r="BM19" i="12" s="1"/>
  <c r="BM20" i="12" s="1"/>
  <c r="BM21" i="12" s="1"/>
  <c r="BM22" i="12" s="1"/>
  <c r="BM23" i="12" s="1"/>
  <c r="BM24" i="12" s="1"/>
  <c r="BM25" i="12" s="1"/>
  <c r="BM26" i="12" s="1"/>
  <c r="BM27" i="12" s="1"/>
  <c r="BM28" i="12" s="1"/>
  <c r="BM29" i="12" s="1"/>
  <c r="BM30" i="12" s="1"/>
  <c r="BM31" i="12" s="1"/>
  <c r="BM32" i="12" s="1"/>
  <c r="BM33" i="12" s="1"/>
  <c r="BM34" i="12" s="1"/>
  <c r="BM35" i="12" s="1"/>
  <c r="BM36" i="12" s="1"/>
  <c r="BM37" i="12" s="1"/>
  <c r="BM38" i="12" s="1"/>
  <c r="BM39" i="12" s="1"/>
  <c r="BM40" i="12" s="1"/>
  <c r="BM41" i="12" s="1"/>
  <c r="BM42" i="12" s="1"/>
  <c r="BM43" i="12" s="1"/>
  <c r="BM44" i="12" s="1"/>
  <c r="BM45" i="12" s="1"/>
  <c r="BM46" i="12" s="1"/>
  <c r="BM47" i="12" s="1"/>
  <c r="BM48" i="12" s="1"/>
  <c r="BM49" i="12" s="1"/>
  <c r="BM50" i="12" s="1"/>
  <c r="BM51" i="12" s="1"/>
  <c r="BM52" i="12" s="1"/>
  <c r="BM53" i="12" s="1"/>
  <c r="BM54" i="12" s="1"/>
  <c r="BM55" i="12" s="1"/>
  <c r="BM56" i="12" s="1"/>
  <c r="BM57" i="12" s="1"/>
  <c r="BM58" i="12" s="1"/>
  <c r="BM59" i="12" s="1"/>
  <c r="BM60" i="12" s="1"/>
  <c r="BM61" i="12" s="1"/>
  <c r="BM63" i="12" s="1"/>
  <c r="BM64" i="12" s="1"/>
  <c r="GV19" i="15" l="1"/>
  <c r="L112" i="13"/>
  <c r="L143" i="13"/>
  <c r="L130" i="13"/>
  <c r="F98" i="13"/>
  <c r="G98" i="13" s="1"/>
  <c r="G94" i="13"/>
  <c r="H95" i="13" s="1"/>
  <c r="H129" i="13"/>
  <c r="L129" i="13"/>
  <c r="F132" i="13"/>
  <c r="G132" i="13" s="1"/>
  <c r="G128" i="13"/>
  <c r="H130" i="13" s="1"/>
  <c r="L105" i="13"/>
  <c r="H105" i="13"/>
  <c r="L114" i="13"/>
  <c r="F102" i="13"/>
  <c r="G99" i="13"/>
  <c r="L122" i="13"/>
  <c r="H122" i="13"/>
  <c r="L108" i="13"/>
  <c r="I68" i="3"/>
  <c r="L131" i="13"/>
  <c r="G116" i="13"/>
  <c r="F119" i="13"/>
  <c r="L125" i="13"/>
  <c r="J68" i="3"/>
  <c r="G104" i="13"/>
  <c r="F106" i="13"/>
  <c r="G106" i="13" s="1"/>
  <c r="G133" i="13"/>
  <c r="F136" i="13"/>
  <c r="G136" i="13" s="1"/>
  <c r="L139" i="13"/>
  <c r="H139" i="13"/>
  <c r="L142" i="13"/>
  <c r="G121" i="13"/>
  <c r="F123" i="13"/>
  <c r="G123" i="13" s="1"/>
  <c r="L109" i="13"/>
  <c r="I69" i="3"/>
  <c r="L107" i="13"/>
  <c r="I67" i="3"/>
  <c r="L46" i="13"/>
  <c r="L96" i="13"/>
  <c r="G138" i="13"/>
  <c r="F140" i="13"/>
  <c r="L95" i="13"/>
  <c r="L126" i="13"/>
  <c r="J69" i="3"/>
  <c r="L124" i="13"/>
  <c r="J67" i="3"/>
  <c r="L113" i="13"/>
  <c r="G111" i="13"/>
  <c r="F115" i="13"/>
  <c r="G115" i="13" s="1"/>
  <c r="L141" i="13"/>
  <c r="AI13" i="12"/>
  <c r="AE65" i="12"/>
  <c r="P10" i="12"/>
  <c r="AI39" i="12"/>
  <c r="I181" i="3"/>
  <c r="I151" i="3"/>
  <c r="AE14" i="12"/>
  <c r="P14" i="12"/>
  <c r="J119" i="3"/>
  <c r="BF24" i="12"/>
  <c r="AZ23" i="12"/>
  <c r="DP26" i="15"/>
  <c r="BV26" i="15"/>
  <c r="DO26" i="15"/>
  <c r="BU26" i="15"/>
  <c r="H30" i="3"/>
  <c r="GV24" i="15"/>
  <c r="GV26" i="15" s="1"/>
  <c r="DN22" i="15"/>
  <c r="J117" i="3" s="1"/>
  <c r="J178" i="3" s="1"/>
  <c r="FE24" i="15"/>
  <c r="DN23" i="15"/>
  <c r="J118" i="3" s="1"/>
  <c r="DN19" i="15"/>
  <c r="DN21" i="15"/>
  <c r="I150" i="3"/>
  <c r="I148" i="3"/>
  <c r="I177" i="3"/>
  <c r="FE19" i="15"/>
  <c r="I30" i="3"/>
  <c r="I121" i="3"/>
  <c r="I178" i="3"/>
  <c r="I149" i="3"/>
  <c r="O118" i="12"/>
  <c r="O115" i="12"/>
  <c r="G61" i="12"/>
  <c r="K74" i="12"/>
  <c r="H56" i="12"/>
  <c r="R43" i="12"/>
  <c r="R47" i="12" s="1"/>
  <c r="AP23" i="12"/>
  <c r="AQ23" i="12" s="1"/>
  <c r="AK80" i="12"/>
  <c r="AP19" i="12"/>
  <c r="AQ19" i="12" s="1"/>
  <c r="P68" i="12"/>
  <c r="U81" i="12" s="1"/>
  <c r="AD65" i="12"/>
  <c r="AK63" i="12"/>
  <c r="K27" i="12"/>
  <c r="AG67" i="12"/>
  <c r="AG71" i="12"/>
  <c r="AL84" i="12" s="1"/>
  <c r="J65" i="12"/>
  <c r="K71" i="12"/>
  <c r="F34" i="13"/>
  <c r="AA54" i="13"/>
  <c r="AF65" i="12"/>
  <c r="AF68" i="12"/>
  <c r="AG61" i="12"/>
  <c r="AL74" i="12" s="1"/>
  <c r="F38" i="13"/>
  <c r="G38" i="13" s="1"/>
  <c r="E66" i="3" s="1"/>
  <c r="K61" i="12"/>
  <c r="IL26" i="15"/>
  <c r="H116" i="3"/>
  <c r="L117" i="3" s="1"/>
  <c r="U66" i="12"/>
  <c r="U70" i="12"/>
  <c r="U72" i="12"/>
  <c r="AK66" i="12"/>
  <c r="AK70" i="12"/>
  <c r="K67" i="12"/>
  <c r="K62" i="12"/>
  <c r="AK38" i="12"/>
  <c r="H30" i="12"/>
  <c r="H34" i="12" s="1"/>
  <c r="R17" i="12"/>
  <c r="R21" i="12" s="1"/>
  <c r="AE68" i="12"/>
  <c r="AK62" i="12"/>
  <c r="L28" i="13"/>
  <c r="U62" i="12"/>
  <c r="AK67" i="12"/>
  <c r="AK71" i="12"/>
  <c r="KL24" i="15"/>
  <c r="KG26" i="15" s="1"/>
  <c r="D31" i="3"/>
  <c r="AG63" i="12"/>
  <c r="AL76" i="12" s="1"/>
  <c r="G116" i="3"/>
  <c r="M116" i="3" s="1"/>
  <c r="G30" i="3"/>
  <c r="C17" i="2" s="1"/>
  <c r="L90" i="13"/>
  <c r="H67" i="3"/>
  <c r="G43" i="13"/>
  <c r="L43" i="13" s="1"/>
  <c r="F47" i="13"/>
  <c r="F21" i="13"/>
  <c r="G21" i="13" s="1"/>
  <c r="L38" i="13" s="1"/>
  <c r="G19" i="13"/>
  <c r="G65" i="13"/>
  <c r="F68" i="13"/>
  <c r="F68" i="3"/>
  <c r="G67" i="3"/>
  <c r="L73" i="13"/>
  <c r="L66" i="13"/>
  <c r="F64" i="13"/>
  <c r="G64" i="13" s="1"/>
  <c r="G60" i="13"/>
  <c r="H62" i="13" s="1"/>
  <c r="H69" i="3"/>
  <c r="L92" i="13"/>
  <c r="F55" i="13"/>
  <c r="G55" i="13" s="1"/>
  <c r="G53" i="13"/>
  <c r="F17" i="13"/>
  <c r="G14" i="13"/>
  <c r="L31" i="13" s="1"/>
  <c r="L44" i="13"/>
  <c r="L83" i="13"/>
  <c r="H54" i="13"/>
  <c r="L27" i="13"/>
  <c r="H68" i="3"/>
  <c r="L91" i="13"/>
  <c r="H79" i="13"/>
  <c r="L79" i="13"/>
  <c r="H77" i="13"/>
  <c r="L71" i="13"/>
  <c r="H71" i="13"/>
  <c r="G69" i="3"/>
  <c r="L75" i="13"/>
  <c r="G87" i="13"/>
  <c r="F89" i="13"/>
  <c r="F51" i="13"/>
  <c r="G48" i="13"/>
  <c r="L63" i="13"/>
  <c r="H78" i="13"/>
  <c r="L78" i="13"/>
  <c r="L41" i="13"/>
  <c r="E69" i="3"/>
  <c r="L58" i="13"/>
  <c r="F69" i="3"/>
  <c r="F30" i="13"/>
  <c r="G30" i="13" s="1"/>
  <c r="L45" i="13"/>
  <c r="L74" i="13"/>
  <c r="G68" i="3"/>
  <c r="F67" i="3"/>
  <c r="L49" i="13"/>
  <c r="L32" i="13"/>
  <c r="L62" i="13"/>
  <c r="F13" i="13"/>
  <c r="G13" i="13" s="1"/>
  <c r="G9" i="13"/>
  <c r="H11" i="13" s="1"/>
  <c r="L88" i="13"/>
  <c r="H88" i="13"/>
  <c r="G70" i="13"/>
  <c r="F72" i="13"/>
  <c r="G72" i="13" s="1"/>
  <c r="G82" i="13"/>
  <c r="F85" i="13"/>
  <c r="F81" i="13"/>
  <c r="G81" i="13" s="1"/>
  <c r="G80" i="13"/>
  <c r="H80" i="13" s="1"/>
  <c r="L61" i="13"/>
  <c r="G40" i="13"/>
  <c r="KB26" i="15"/>
  <c r="KH23" i="15"/>
  <c r="KH24" i="15" s="1"/>
  <c r="KH19" i="15"/>
  <c r="AA36" i="13"/>
  <c r="I42" i="13"/>
  <c r="U67" i="12"/>
  <c r="U71" i="12"/>
  <c r="AG64" i="12"/>
  <c r="AL77" i="12" s="1"/>
  <c r="AD68" i="12"/>
  <c r="AG72" i="12"/>
  <c r="AL85" i="12" s="1"/>
  <c r="H17" i="12"/>
  <c r="AI17" i="12" s="1"/>
  <c r="AI52" i="12"/>
  <c r="AI26" i="12"/>
  <c r="G62" i="12"/>
  <c r="U63" i="12"/>
  <c r="U64" i="12"/>
  <c r="T65" i="12"/>
  <c r="J68" i="12"/>
  <c r="T68" i="12"/>
  <c r="AG62" i="12"/>
  <c r="AL75" i="12" s="1"/>
  <c r="AK64" i="12"/>
  <c r="AG70" i="12"/>
  <c r="AL83" i="12" s="1"/>
  <c r="AK72" i="12"/>
  <c r="K72" i="12"/>
  <c r="AI65" i="12"/>
  <c r="K63" i="12"/>
  <c r="K66" i="12"/>
  <c r="K70" i="12"/>
  <c r="K64" i="12"/>
  <c r="AG66" i="12"/>
  <c r="AI68" i="12"/>
  <c r="AK81" i="12" s="1"/>
  <c r="AP47" i="12" s="1"/>
  <c r="F68" i="12"/>
  <c r="K81" i="12" s="1"/>
  <c r="G63" i="12"/>
  <c r="G64" i="12"/>
  <c r="N69" i="12"/>
  <c r="Q64" i="12"/>
  <c r="R69" i="12"/>
  <c r="T82" i="12" s="1"/>
  <c r="Q61" i="12"/>
  <c r="O69" i="12"/>
  <c r="Q62" i="12"/>
  <c r="U61" i="12"/>
  <c r="F65" i="12"/>
  <c r="E69" i="12"/>
  <c r="E73" i="12" s="1"/>
  <c r="D69" i="12"/>
  <c r="D73" i="12" s="1"/>
  <c r="H69" i="12"/>
  <c r="P65" i="12"/>
  <c r="C69" i="12"/>
  <c r="Q63" i="12"/>
  <c r="M69" i="12"/>
  <c r="H43" i="12"/>
  <c r="H47" i="12" s="1"/>
  <c r="AF39" i="12"/>
  <c r="AK50" i="12"/>
  <c r="R56" i="12"/>
  <c r="R60" i="12" s="1"/>
  <c r="R30" i="12"/>
  <c r="R34" i="12" s="1"/>
  <c r="T29" i="12"/>
  <c r="T49" i="12"/>
  <c r="T44" i="12"/>
  <c r="T37" i="12"/>
  <c r="T32" i="12"/>
  <c r="T25" i="12"/>
  <c r="AI31" i="12"/>
  <c r="AK31" i="12" s="1"/>
  <c r="AI16" i="12"/>
  <c r="T33" i="12"/>
  <c r="AK27" i="12"/>
  <c r="H60" i="12"/>
  <c r="AI55" i="12"/>
  <c r="AK51" i="12"/>
  <c r="AI42" i="12"/>
  <c r="AK58" i="12"/>
  <c r="AK46" i="12"/>
  <c r="AK54" i="12"/>
  <c r="AI29" i="12"/>
  <c r="AK22" i="12"/>
  <c r="AK23" i="12"/>
  <c r="AK59" i="12"/>
  <c r="AK25" i="12"/>
  <c r="AK57" i="12"/>
  <c r="J57" i="12"/>
  <c r="J49" i="12"/>
  <c r="J44" i="12"/>
  <c r="J37" i="12"/>
  <c r="J32" i="12"/>
  <c r="J25" i="12"/>
  <c r="AI48" i="12"/>
  <c r="AK48" i="12" s="1"/>
  <c r="AI40" i="12"/>
  <c r="AI36" i="12"/>
  <c r="AI32" i="12"/>
  <c r="AI28" i="12"/>
  <c r="AP20" i="12" s="1"/>
  <c r="AQ20" i="12" s="1"/>
  <c r="AI24" i="12"/>
  <c r="AI20" i="12"/>
  <c r="AK33" i="12" s="1"/>
  <c r="J33" i="12"/>
  <c r="AK35" i="12"/>
  <c r="T52" i="12"/>
  <c r="T26" i="12"/>
  <c r="T39" i="12"/>
  <c r="J26" i="12"/>
  <c r="J29" i="12"/>
  <c r="J42" i="12"/>
  <c r="T42" i="12"/>
  <c r="J52" i="12"/>
  <c r="J55" i="12"/>
  <c r="T55" i="12"/>
  <c r="F18" i="12"/>
  <c r="P19" i="12"/>
  <c r="F22" i="12"/>
  <c r="F39" i="12"/>
  <c r="P39" i="12"/>
  <c r="Q39" i="12" s="1"/>
  <c r="J39" i="12"/>
  <c r="AG36" i="12"/>
  <c r="AG40" i="12"/>
  <c r="AG49" i="12"/>
  <c r="F31" i="12"/>
  <c r="F12" i="12"/>
  <c r="AG41" i="12"/>
  <c r="AG35" i="12"/>
  <c r="F55" i="12"/>
  <c r="P55" i="12"/>
  <c r="AG57" i="12"/>
  <c r="AG58" i="12"/>
  <c r="AG38" i="12"/>
  <c r="AG46" i="12"/>
  <c r="AG48" i="12"/>
  <c r="AG53" i="12"/>
  <c r="AG54" i="12"/>
  <c r="AG15" i="12"/>
  <c r="Q10" i="12"/>
  <c r="F11" i="12"/>
  <c r="P12" i="12"/>
  <c r="P23" i="12"/>
  <c r="U36" i="12" s="1"/>
  <c r="P28" i="12"/>
  <c r="AG37" i="12"/>
  <c r="AG44" i="12"/>
  <c r="AG45" i="12"/>
  <c r="AG51" i="12"/>
  <c r="AG59" i="12"/>
  <c r="F20" i="12"/>
  <c r="P24" i="12"/>
  <c r="U37" i="12" s="1"/>
  <c r="F52" i="12"/>
  <c r="F9" i="12"/>
  <c r="P20" i="12"/>
  <c r="F23" i="12"/>
  <c r="F29" i="12"/>
  <c r="F42" i="12"/>
  <c r="P42" i="12"/>
  <c r="F24" i="12"/>
  <c r="K37" i="12" s="1"/>
  <c r="F16" i="12"/>
  <c r="P18" i="12"/>
  <c r="P31" i="12"/>
  <c r="K32" i="12"/>
  <c r="AE19" i="12"/>
  <c r="AG19" i="12" s="1"/>
  <c r="CF60" i="12"/>
  <c r="P27" i="12"/>
  <c r="U40" i="12" s="1"/>
  <c r="P15" i="12"/>
  <c r="P22" i="12"/>
  <c r="Q22" i="12" s="1"/>
  <c r="P32" i="12"/>
  <c r="U45" i="12" s="1"/>
  <c r="O13" i="12"/>
  <c r="BS61" i="12"/>
  <c r="G38" i="12"/>
  <c r="F33" i="12"/>
  <c r="K46" i="12" s="1"/>
  <c r="F25" i="12"/>
  <c r="P33" i="12"/>
  <c r="U46" i="12" s="1"/>
  <c r="P25" i="12"/>
  <c r="U38" i="12" s="1"/>
  <c r="AF18" i="12"/>
  <c r="AE27" i="12"/>
  <c r="K53" i="12"/>
  <c r="U54" i="12"/>
  <c r="CC61" i="12"/>
  <c r="AF12" i="12"/>
  <c r="AE20" i="12"/>
  <c r="O29" i="12"/>
  <c r="AE25" i="12"/>
  <c r="AF27" i="12"/>
  <c r="C43" i="12"/>
  <c r="K28" i="12"/>
  <c r="AD13" i="12"/>
  <c r="M17" i="12"/>
  <c r="AF24" i="12"/>
  <c r="AE33" i="12"/>
  <c r="G36" i="12"/>
  <c r="K51" i="12"/>
  <c r="Q49" i="12"/>
  <c r="K54" i="12"/>
  <c r="BF20" i="12"/>
  <c r="K59" i="12"/>
  <c r="CF64" i="12"/>
  <c r="AE50" i="12"/>
  <c r="AG50" i="12" s="1"/>
  <c r="AL63" i="12" s="1"/>
  <c r="CF61" i="12"/>
  <c r="AF11" i="12"/>
  <c r="AE12" i="12"/>
  <c r="AF25" i="12"/>
  <c r="AF32" i="12"/>
  <c r="AF33" i="12"/>
  <c r="G35" i="12"/>
  <c r="U51" i="12"/>
  <c r="C56" i="12"/>
  <c r="O56" i="12"/>
  <c r="O60" i="12" s="1"/>
  <c r="BF19" i="12"/>
  <c r="D56" i="12"/>
  <c r="D60" i="12" s="1"/>
  <c r="BF22" i="12"/>
  <c r="BF23" i="12"/>
  <c r="G37" i="12"/>
  <c r="E13" i="12"/>
  <c r="E17" i="12" s="1"/>
  <c r="E21" i="12" s="1"/>
  <c r="C17" i="12"/>
  <c r="AE18" i="12"/>
  <c r="AE24" i="12"/>
  <c r="N26" i="12"/>
  <c r="K41" i="12"/>
  <c r="M30" i="12"/>
  <c r="AE32" i="12"/>
  <c r="K40" i="12"/>
  <c r="AE31" i="12"/>
  <c r="K45" i="12"/>
  <c r="U58" i="12"/>
  <c r="AD42" i="12"/>
  <c r="Q51" i="12"/>
  <c r="K57" i="12"/>
  <c r="U57" i="12"/>
  <c r="D13" i="12"/>
  <c r="D17" i="12" s="1"/>
  <c r="D21" i="12" s="1"/>
  <c r="N29" i="12"/>
  <c r="AF31" i="12"/>
  <c r="U49" i="12"/>
  <c r="Q36" i="12"/>
  <c r="E56" i="12"/>
  <c r="AE10" i="12"/>
  <c r="AE11" i="12"/>
  <c r="N13" i="12"/>
  <c r="D26" i="12"/>
  <c r="O26" i="12"/>
  <c r="AD26" i="12"/>
  <c r="AF28" i="12"/>
  <c r="AE28" i="12"/>
  <c r="AD29" i="12"/>
  <c r="C30" i="12"/>
  <c r="Q37" i="12"/>
  <c r="AD39" i="12"/>
  <c r="AE39" i="12"/>
  <c r="M43" i="12"/>
  <c r="U53" i="12"/>
  <c r="CC63" i="12"/>
  <c r="CC62" i="12"/>
  <c r="AF9" i="12"/>
  <c r="AG9" i="12" s="1"/>
  <c r="AF10" i="12"/>
  <c r="O16" i="12"/>
  <c r="AF14" i="12"/>
  <c r="AD16" i="12"/>
  <c r="AF20" i="12"/>
  <c r="E26" i="12"/>
  <c r="AF22" i="12"/>
  <c r="AE22" i="12"/>
  <c r="AF23" i="12"/>
  <c r="AE23" i="12"/>
  <c r="N16" i="12"/>
  <c r="U48" i="12"/>
  <c r="Q38" i="12"/>
  <c r="Q35" i="12"/>
  <c r="AE42" i="12"/>
  <c r="N43" i="12"/>
  <c r="E43" i="12"/>
  <c r="CF63" i="12"/>
  <c r="BS63" i="12"/>
  <c r="BS64" i="12"/>
  <c r="D43" i="12"/>
  <c r="O43" i="12"/>
  <c r="AD52" i="12"/>
  <c r="AE55" i="12"/>
  <c r="AF42" i="12"/>
  <c r="K50" i="12"/>
  <c r="G50" i="12"/>
  <c r="U50" i="12"/>
  <c r="Q50" i="12"/>
  <c r="N52" i="12"/>
  <c r="P52" i="12" s="1"/>
  <c r="AF55" i="12"/>
  <c r="M56" i="12"/>
  <c r="BF21" i="12"/>
  <c r="K58" i="12"/>
  <c r="CF62" i="12"/>
  <c r="BS62" i="12"/>
  <c r="K48" i="12"/>
  <c r="G48" i="12"/>
  <c r="K49" i="12"/>
  <c r="G49" i="12"/>
  <c r="AF52" i="12"/>
  <c r="U59" i="12"/>
  <c r="G51" i="12"/>
  <c r="AD55" i="12"/>
  <c r="CC64" i="12"/>
  <c r="H96" i="13" l="1"/>
  <c r="L77" i="13"/>
  <c r="H66" i="13"/>
  <c r="L138" i="13"/>
  <c r="H138" i="13"/>
  <c r="H124" i="13"/>
  <c r="J66" i="3"/>
  <c r="H123" i="13"/>
  <c r="L123" i="13"/>
  <c r="H125" i="13"/>
  <c r="L104" i="13"/>
  <c r="H135" i="13"/>
  <c r="L132" i="13"/>
  <c r="H132" i="13"/>
  <c r="L121" i="13"/>
  <c r="L97" i="13"/>
  <c r="L99" i="13"/>
  <c r="H99" i="13"/>
  <c r="H100" i="13"/>
  <c r="H101" i="13"/>
  <c r="G119" i="13"/>
  <c r="H121" i="13" s="1"/>
  <c r="F127" i="13"/>
  <c r="G127" i="13" s="1"/>
  <c r="F110" i="13"/>
  <c r="G110" i="13" s="1"/>
  <c r="G102" i="13"/>
  <c r="L116" i="13"/>
  <c r="H116" i="13"/>
  <c r="H118" i="13"/>
  <c r="H117" i="13"/>
  <c r="L94" i="13"/>
  <c r="H97" i="13"/>
  <c r="H94" i="13"/>
  <c r="H126" i="13"/>
  <c r="H127" i="13" s="1"/>
  <c r="J64" i="3"/>
  <c r="H115" i="13"/>
  <c r="L115" i="13"/>
  <c r="H136" i="13"/>
  <c r="H137" i="13" s="1"/>
  <c r="I64" i="3"/>
  <c r="L98" i="13"/>
  <c r="H98" i="13"/>
  <c r="H112" i="13"/>
  <c r="H111" i="13"/>
  <c r="L111" i="13"/>
  <c r="H114" i="13"/>
  <c r="L133" i="13"/>
  <c r="H133" i="13"/>
  <c r="H134" i="13"/>
  <c r="H113" i="13"/>
  <c r="G140" i="13"/>
  <c r="F144" i="13"/>
  <c r="G144" i="13" s="1"/>
  <c r="H106" i="13"/>
  <c r="I66" i="3" s="1"/>
  <c r="H107" i="13"/>
  <c r="H108" i="13"/>
  <c r="H128" i="13"/>
  <c r="L128" i="13"/>
  <c r="H131" i="13"/>
  <c r="AK26" i="12"/>
  <c r="AO43" i="12" s="1"/>
  <c r="AK39" i="12"/>
  <c r="AO44" i="12" s="1"/>
  <c r="AG65" i="12"/>
  <c r="AL78" i="12" s="1"/>
  <c r="AO37" i="12" s="1"/>
  <c r="AK52" i="12"/>
  <c r="AO45" i="12" s="1"/>
  <c r="AH61" i="12"/>
  <c r="AI47" i="12"/>
  <c r="F34" i="3" s="1"/>
  <c r="U68" i="12"/>
  <c r="AG14" i="12"/>
  <c r="J181" i="3"/>
  <c r="J151" i="3"/>
  <c r="AL67" i="12"/>
  <c r="AH37" i="12"/>
  <c r="AL80" i="12"/>
  <c r="O119" i="12"/>
  <c r="M178" i="3"/>
  <c r="FE26" i="15"/>
  <c r="J149" i="3"/>
  <c r="DN24" i="15"/>
  <c r="J179" i="3"/>
  <c r="J150" i="3"/>
  <c r="I136" i="3"/>
  <c r="U136" i="3" s="1"/>
  <c r="I147" i="3"/>
  <c r="G42" i="12"/>
  <c r="J69" i="12"/>
  <c r="J82" i="12"/>
  <c r="G66" i="12"/>
  <c r="K78" i="12"/>
  <c r="AL58" i="12"/>
  <c r="AK65" i="12"/>
  <c r="AO46" i="12" s="1"/>
  <c r="AK78" i="12"/>
  <c r="AO47" i="12" s="1"/>
  <c r="AI34" i="12"/>
  <c r="E34" i="3" s="1"/>
  <c r="Q68" i="12"/>
  <c r="U78" i="12"/>
  <c r="AH67" i="12"/>
  <c r="AL79" i="12"/>
  <c r="H177" i="3"/>
  <c r="G177" i="3"/>
  <c r="AH63" i="12"/>
  <c r="H38" i="13"/>
  <c r="H84" i="13"/>
  <c r="H67" i="13"/>
  <c r="AL51" i="12"/>
  <c r="H61" i="13"/>
  <c r="AI60" i="12"/>
  <c r="G34" i="3" s="1"/>
  <c r="K68" i="12"/>
  <c r="AG68" i="12"/>
  <c r="AL81" i="12" s="1"/>
  <c r="AP37" i="12" s="1"/>
  <c r="H45" i="13"/>
  <c r="G51" i="13"/>
  <c r="F59" i="13"/>
  <c r="G59" i="13" s="1"/>
  <c r="F63" i="3" s="1"/>
  <c r="F127" i="3" s="1"/>
  <c r="F184" i="3" s="1"/>
  <c r="AL59" i="12"/>
  <c r="AI43" i="12"/>
  <c r="H44" i="13"/>
  <c r="AK29" i="12"/>
  <c r="AP43" i="12" s="1"/>
  <c r="G68" i="13"/>
  <c r="H75" i="13" s="1"/>
  <c r="H76" i="13" s="1"/>
  <c r="F76" i="13"/>
  <c r="G76" i="13" s="1"/>
  <c r="D116" i="3"/>
  <c r="D177" i="3" s="1"/>
  <c r="D30" i="3"/>
  <c r="AI30" i="12"/>
  <c r="AK30" i="12" s="1"/>
  <c r="AQ43" i="12" s="1"/>
  <c r="G17" i="13"/>
  <c r="H24" i="13" s="1"/>
  <c r="H25" i="13" s="1"/>
  <c r="F25" i="13"/>
  <c r="G25" i="13" s="1"/>
  <c r="D63" i="3" s="1"/>
  <c r="D127" i="3" s="1"/>
  <c r="D184" i="3" s="1"/>
  <c r="AL53" i="12"/>
  <c r="G85" i="13"/>
  <c r="H87" i="13" s="1"/>
  <c r="F93" i="13"/>
  <c r="G93" i="13" s="1"/>
  <c r="F42" i="13"/>
  <c r="K65" i="12"/>
  <c r="G89" i="13"/>
  <c r="L106" i="13" s="1"/>
  <c r="H56" i="13"/>
  <c r="H57" i="13"/>
  <c r="F66" i="3"/>
  <c r="H55" i="13"/>
  <c r="G47" i="13"/>
  <c r="L55" i="13"/>
  <c r="L82" i="13"/>
  <c r="H82" i="13"/>
  <c r="L80" i="13"/>
  <c r="L87" i="13"/>
  <c r="H14" i="13"/>
  <c r="L65" i="13"/>
  <c r="H65" i="13"/>
  <c r="H43" i="13"/>
  <c r="H46" i="13"/>
  <c r="D64" i="3"/>
  <c r="H13" i="13"/>
  <c r="E68" i="3"/>
  <c r="L40" i="13"/>
  <c r="L72" i="13"/>
  <c r="H73" i="13"/>
  <c r="G66" i="3"/>
  <c r="H72" i="13"/>
  <c r="H74" i="13"/>
  <c r="L48" i="13"/>
  <c r="H48" i="13"/>
  <c r="D65" i="3"/>
  <c r="H17" i="13"/>
  <c r="H18" i="13" s="1"/>
  <c r="L60" i="13"/>
  <c r="H60" i="13"/>
  <c r="H63" i="13"/>
  <c r="L57" i="13"/>
  <c r="H19" i="13"/>
  <c r="H16" i="13"/>
  <c r="H81" i="13"/>
  <c r="H64" i="3"/>
  <c r="L81" i="13"/>
  <c r="L70" i="13"/>
  <c r="H9" i="13"/>
  <c r="H12" i="13"/>
  <c r="H15" i="13"/>
  <c r="H10" i="13"/>
  <c r="H83" i="13"/>
  <c r="L26" i="13"/>
  <c r="G64" i="3"/>
  <c r="L64" i="13"/>
  <c r="H64" i="13"/>
  <c r="D66" i="3"/>
  <c r="H23" i="13"/>
  <c r="H21" i="13"/>
  <c r="H22" i="13"/>
  <c r="L47" i="13"/>
  <c r="E64" i="3"/>
  <c r="L30" i="13"/>
  <c r="H30" i="13"/>
  <c r="K59" i="13"/>
  <c r="K42" i="13"/>
  <c r="H32" i="13"/>
  <c r="H31" i="13"/>
  <c r="G39" i="13"/>
  <c r="G34" i="13"/>
  <c r="G36" i="13"/>
  <c r="L36" i="13" s="1"/>
  <c r="G37" i="13"/>
  <c r="KC26" i="15"/>
  <c r="KH26" i="15"/>
  <c r="AH9" i="12"/>
  <c r="AH35" i="12"/>
  <c r="AH38" i="12"/>
  <c r="AH48" i="12"/>
  <c r="AH51" i="12"/>
  <c r="H21" i="12"/>
  <c r="AI21" i="12" s="1"/>
  <c r="D34" i="3" s="1"/>
  <c r="O73" i="12"/>
  <c r="AF73" i="12" s="1"/>
  <c r="AF69" i="12"/>
  <c r="N73" i="12"/>
  <c r="AE73" i="12" s="1"/>
  <c r="AE69" i="12"/>
  <c r="AL71" i="12"/>
  <c r="AL70" i="12"/>
  <c r="AH64" i="12"/>
  <c r="AH36" i="12"/>
  <c r="AK68" i="12"/>
  <c r="AP46" i="12" s="1"/>
  <c r="AL64" i="12"/>
  <c r="AL61" i="12"/>
  <c r="AL49" i="12"/>
  <c r="AH49" i="12"/>
  <c r="AH50" i="12"/>
  <c r="AL54" i="12"/>
  <c r="AD69" i="12"/>
  <c r="T69" i="12"/>
  <c r="R73" i="12"/>
  <c r="T86" i="12" s="1"/>
  <c r="AI69" i="12"/>
  <c r="AK82" i="12" s="1"/>
  <c r="AQ47" i="12" s="1"/>
  <c r="AL66" i="12"/>
  <c r="AL62" i="12"/>
  <c r="AH62" i="12"/>
  <c r="AL72" i="12"/>
  <c r="AK61" i="12"/>
  <c r="AH65" i="12"/>
  <c r="AH66" i="12"/>
  <c r="G67" i="12"/>
  <c r="H73" i="12"/>
  <c r="G68" i="12"/>
  <c r="G65" i="12"/>
  <c r="Q67" i="12"/>
  <c r="U65" i="12"/>
  <c r="Q65" i="12"/>
  <c r="Q66" i="12"/>
  <c r="P69" i="12"/>
  <c r="U82" i="12" s="1"/>
  <c r="M73" i="12"/>
  <c r="F69" i="12"/>
  <c r="K82" i="12" s="1"/>
  <c r="C73" i="12"/>
  <c r="F73" i="12" s="1"/>
  <c r="K86" i="12" s="1"/>
  <c r="AG18" i="12"/>
  <c r="AL48" i="12"/>
  <c r="AL57" i="12"/>
  <c r="AI56" i="12"/>
  <c r="AG25" i="12"/>
  <c r="AL38" i="12" s="1"/>
  <c r="AL50" i="12"/>
  <c r="K31" i="12"/>
  <c r="AK42" i="12"/>
  <c r="AP44" i="12" s="1"/>
  <c r="AK55" i="12"/>
  <c r="AP45" i="12" s="1"/>
  <c r="AK44" i="12"/>
  <c r="AK45" i="12"/>
  <c r="AK32" i="12"/>
  <c r="AK49" i="12"/>
  <c r="AK36" i="12"/>
  <c r="AK37" i="12"/>
  <c r="AK24" i="12"/>
  <c r="AK53" i="12"/>
  <c r="AK40" i="12"/>
  <c r="AK41" i="12"/>
  <c r="AK28" i="12"/>
  <c r="T43" i="12"/>
  <c r="CG62" i="12"/>
  <c r="U32" i="12"/>
  <c r="K22" i="12"/>
  <c r="J30" i="12"/>
  <c r="T56" i="12"/>
  <c r="T30" i="12"/>
  <c r="J43" i="12"/>
  <c r="J56" i="12"/>
  <c r="AG10" i="12"/>
  <c r="AH10" i="12" s="1"/>
  <c r="AG23" i="12"/>
  <c r="AG28" i="12"/>
  <c r="AG27" i="12"/>
  <c r="F26" i="12"/>
  <c r="K39" i="12" s="1"/>
  <c r="AG20" i="12"/>
  <c r="AG22" i="12"/>
  <c r="AG39" i="12"/>
  <c r="P26" i="12"/>
  <c r="Q27" i="12" s="1"/>
  <c r="AG32" i="12"/>
  <c r="AL32" i="12" s="1"/>
  <c r="AG55" i="12"/>
  <c r="P13" i="12"/>
  <c r="AG42" i="12"/>
  <c r="U24" i="12"/>
  <c r="U31" i="12"/>
  <c r="K42" i="12"/>
  <c r="AG12" i="12"/>
  <c r="AG31" i="12"/>
  <c r="AG11" i="12"/>
  <c r="AG33" i="12"/>
  <c r="AG24" i="12"/>
  <c r="CG61" i="12"/>
  <c r="P16" i="12"/>
  <c r="F17" i="12"/>
  <c r="G19" i="12" s="1"/>
  <c r="C21" i="12"/>
  <c r="F21" i="12" s="1"/>
  <c r="C60" i="12"/>
  <c r="F56" i="12"/>
  <c r="C47" i="12"/>
  <c r="F43" i="12"/>
  <c r="M34" i="12"/>
  <c r="U33" i="12"/>
  <c r="P29" i="12"/>
  <c r="U42" i="12" s="1"/>
  <c r="F13" i="12"/>
  <c r="G13" i="12" s="1"/>
  <c r="P43" i="12"/>
  <c r="Q23" i="12"/>
  <c r="AE26" i="12"/>
  <c r="K24" i="12"/>
  <c r="K25" i="12"/>
  <c r="AD17" i="12"/>
  <c r="AD30" i="12"/>
  <c r="C34" i="12"/>
  <c r="K38" i="12"/>
  <c r="O30" i="12"/>
  <c r="O34" i="12" s="1"/>
  <c r="Q40" i="12"/>
  <c r="M21" i="12"/>
  <c r="G41" i="12"/>
  <c r="K33" i="12"/>
  <c r="U22" i="12"/>
  <c r="AF29" i="12"/>
  <c r="Q24" i="12"/>
  <c r="CG63" i="12"/>
  <c r="Q41" i="12"/>
  <c r="U35" i="12"/>
  <c r="U25" i="12"/>
  <c r="AF13" i="12"/>
  <c r="Q25" i="12"/>
  <c r="G16" i="12"/>
  <c r="Q12" i="12"/>
  <c r="K23" i="12"/>
  <c r="G23" i="12"/>
  <c r="K36" i="12"/>
  <c r="U55" i="12"/>
  <c r="O47" i="12"/>
  <c r="AF43" i="12"/>
  <c r="O17" i="12"/>
  <c r="AF16" i="12"/>
  <c r="G22" i="12"/>
  <c r="G25" i="12"/>
  <c r="K35" i="12"/>
  <c r="E60" i="12"/>
  <c r="AF60" i="12" s="1"/>
  <c r="AF56" i="12"/>
  <c r="U28" i="12"/>
  <c r="AD56" i="12"/>
  <c r="M60" i="12"/>
  <c r="AE52" i="12"/>
  <c r="N56" i="12"/>
  <c r="P56" i="12" s="1"/>
  <c r="G52" i="12"/>
  <c r="G53" i="12"/>
  <c r="K52" i="12"/>
  <c r="G54" i="12"/>
  <c r="D47" i="12"/>
  <c r="CG64" i="12"/>
  <c r="E47" i="12"/>
  <c r="AE16" i="12"/>
  <c r="N17" i="12"/>
  <c r="G9" i="12"/>
  <c r="G12" i="12"/>
  <c r="K55" i="12"/>
  <c r="G55" i="12"/>
  <c r="AD43" i="12"/>
  <c r="M47" i="12"/>
  <c r="K29" i="12"/>
  <c r="N30" i="12"/>
  <c r="AE29" i="12"/>
  <c r="D30" i="12"/>
  <c r="G11" i="12"/>
  <c r="U41" i="12"/>
  <c r="AE43" i="12"/>
  <c r="N47" i="12"/>
  <c r="G39" i="12"/>
  <c r="G40" i="12"/>
  <c r="AF26" i="12"/>
  <c r="U23" i="12"/>
  <c r="AE13" i="12"/>
  <c r="K44" i="12"/>
  <c r="G24" i="12"/>
  <c r="U44" i="12"/>
  <c r="Q42" i="12"/>
  <c r="E30" i="12"/>
  <c r="U27" i="12"/>
  <c r="Q11" i="12"/>
  <c r="G10" i="12"/>
  <c r="L68" i="13" l="1"/>
  <c r="H51" i="13"/>
  <c r="H52" i="13" s="1"/>
  <c r="G65" i="3"/>
  <c r="F65" i="3"/>
  <c r="H68" i="13"/>
  <c r="H69" i="13" s="1"/>
  <c r="H141" i="13"/>
  <c r="H142" i="13"/>
  <c r="H140" i="13"/>
  <c r="L140" i="13"/>
  <c r="H143" i="13"/>
  <c r="H144" i="13" s="1"/>
  <c r="H109" i="13"/>
  <c r="H110" i="13" s="1"/>
  <c r="I65" i="3"/>
  <c r="I70" i="3" s="1"/>
  <c r="L102" i="13"/>
  <c r="H102" i="13"/>
  <c r="H103" i="13" s="1"/>
  <c r="L110" i="13"/>
  <c r="I63" i="3"/>
  <c r="I127" i="3" s="1"/>
  <c r="L127" i="13"/>
  <c r="J65" i="3"/>
  <c r="J70" i="3" s="1"/>
  <c r="L119" i="13"/>
  <c r="H119" i="13"/>
  <c r="H120" i="13" s="1"/>
  <c r="L136" i="13"/>
  <c r="L144" i="13"/>
  <c r="H104" i="13"/>
  <c r="AD21" i="12"/>
  <c r="AK60" i="12"/>
  <c r="AR45" i="12" s="1"/>
  <c r="AL27" i="12"/>
  <c r="AK47" i="12"/>
  <c r="AR44" i="12" s="1"/>
  <c r="O123" i="12"/>
  <c r="G14" i="12"/>
  <c r="AK56" i="12"/>
  <c r="AQ45" i="12" s="1"/>
  <c r="DN26" i="15"/>
  <c r="BT26" i="15"/>
  <c r="J116" i="3"/>
  <c r="J30" i="3"/>
  <c r="I189" i="3"/>
  <c r="I167" i="3"/>
  <c r="U137" i="3" s="1"/>
  <c r="AH68" i="12"/>
  <c r="J73" i="12"/>
  <c r="J86" i="12"/>
  <c r="AH11" i="12"/>
  <c r="Q26" i="12"/>
  <c r="G18" i="12"/>
  <c r="H53" i="13"/>
  <c r="H70" i="13"/>
  <c r="H63" i="3"/>
  <c r="D30" i="19" s="1"/>
  <c r="H58" i="13"/>
  <c r="H59" i="13" s="1"/>
  <c r="F129" i="3"/>
  <c r="D129" i="3"/>
  <c r="AH42" i="12"/>
  <c r="J34" i="12"/>
  <c r="H65" i="3"/>
  <c r="AK43" i="12"/>
  <c r="AQ44" i="12" s="1"/>
  <c r="AK34" i="12"/>
  <c r="AR43" i="12" s="1"/>
  <c r="AL45" i="12"/>
  <c r="H85" i="13"/>
  <c r="H86" i="13" s="1"/>
  <c r="L53" i="13"/>
  <c r="L85" i="13"/>
  <c r="D70" i="3"/>
  <c r="G70" i="3"/>
  <c r="L89" i="13"/>
  <c r="H91" i="13"/>
  <c r="H90" i="13"/>
  <c r="H92" i="13"/>
  <c r="H93" i="13" s="1"/>
  <c r="H89" i="13"/>
  <c r="H66" i="3" s="1"/>
  <c r="H37" i="13"/>
  <c r="L37" i="13"/>
  <c r="L54" i="13"/>
  <c r="L93" i="13"/>
  <c r="E67" i="3"/>
  <c r="L39" i="13"/>
  <c r="L56" i="13"/>
  <c r="G63" i="3"/>
  <c r="L76" i="13"/>
  <c r="F64" i="3"/>
  <c r="F70" i="3" s="1"/>
  <c r="H47" i="13"/>
  <c r="H49" i="13"/>
  <c r="H50" i="13"/>
  <c r="E65" i="3"/>
  <c r="L34" i="13"/>
  <c r="L51" i="13"/>
  <c r="H41" i="13"/>
  <c r="H42" i="13" s="1"/>
  <c r="H36" i="13"/>
  <c r="H34" i="13"/>
  <c r="H35" i="13" s="1"/>
  <c r="H39" i="13"/>
  <c r="H40" i="13"/>
  <c r="AL22" i="12"/>
  <c r="AH22" i="12"/>
  <c r="AH25" i="12"/>
  <c r="AL28" i="12"/>
  <c r="T73" i="12"/>
  <c r="AI73" i="12"/>
  <c r="AK86" i="12" s="1"/>
  <c r="AR47" i="12" s="1"/>
  <c r="AH12" i="12"/>
  <c r="AL31" i="12"/>
  <c r="AH23" i="12"/>
  <c r="AH24" i="12"/>
  <c r="AG69" i="12"/>
  <c r="AL82" i="12" s="1"/>
  <c r="AQ37" i="12" s="1"/>
  <c r="AL55" i="12"/>
  <c r="AP35" i="12" s="1"/>
  <c r="AL33" i="12"/>
  <c r="AH39" i="12"/>
  <c r="AH40" i="12"/>
  <c r="AL46" i="12"/>
  <c r="P73" i="12"/>
  <c r="U86" i="12" s="1"/>
  <c r="AD73" i="12"/>
  <c r="AK69" i="12"/>
  <c r="AQ46" i="12" s="1"/>
  <c r="AH41" i="12"/>
  <c r="AL68" i="12"/>
  <c r="AP36" i="12" s="1"/>
  <c r="U69" i="12"/>
  <c r="Q69" i="12"/>
  <c r="Q72" i="12"/>
  <c r="Q73" i="12" s="1"/>
  <c r="Q71" i="12"/>
  <c r="Q70" i="12"/>
  <c r="K69" i="12"/>
  <c r="G69" i="12"/>
  <c r="G72" i="12"/>
  <c r="G73" i="12" s="1"/>
  <c r="G71" i="12"/>
  <c r="G70" i="12"/>
  <c r="AL35" i="12"/>
  <c r="AG29" i="12"/>
  <c r="AL42" i="12" s="1"/>
  <c r="AL23" i="12"/>
  <c r="AL44" i="12"/>
  <c r="AL36" i="12"/>
  <c r="AL24" i="12"/>
  <c r="AL40" i="12"/>
  <c r="G15" i="12"/>
  <c r="AG16" i="12"/>
  <c r="AL25" i="12"/>
  <c r="AL41" i="12"/>
  <c r="AL37" i="12"/>
  <c r="J47" i="12"/>
  <c r="U39" i="12"/>
  <c r="P17" i="12"/>
  <c r="Q28" i="12"/>
  <c r="AG13" i="12"/>
  <c r="U26" i="12"/>
  <c r="T60" i="12"/>
  <c r="T34" i="12"/>
  <c r="T47" i="12"/>
  <c r="J60" i="12"/>
  <c r="AG52" i="12"/>
  <c r="AH55" i="12" s="1"/>
  <c r="AG43" i="12"/>
  <c r="AG26" i="12"/>
  <c r="AH28" i="12" s="1"/>
  <c r="F30" i="12"/>
  <c r="K43" i="12" s="1"/>
  <c r="F47" i="12"/>
  <c r="P30" i="12"/>
  <c r="F60" i="12"/>
  <c r="K73" i="12" s="1"/>
  <c r="P47" i="12"/>
  <c r="G20" i="12"/>
  <c r="G21" i="12" s="1"/>
  <c r="G17" i="12"/>
  <c r="E34" i="12"/>
  <c r="N34" i="12"/>
  <c r="AE30" i="12"/>
  <c r="AD34" i="12"/>
  <c r="U52" i="12"/>
  <c r="Q53" i="12"/>
  <c r="Q52" i="12"/>
  <c r="Q54" i="12"/>
  <c r="O21" i="12"/>
  <c r="AF21" i="12" s="1"/>
  <c r="AF17" i="12"/>
  <c r="Q55" i="12"/>
  <c r="Q14" i="12"/>
  <c r="Q13" i="12"/>
  <c r="N21" i="12"/>
  <c r="AE17" i="12"/>
  <c r="G56" i="12"/>
  <c r="G58" i="12"/>
  <c r="G57" i="12"/>
  <c r="K56" i="12"/>
  <c r="G59" i="12"/>
  <c r="G60" i="12" s="1"/>
  <c r="AD60" i="12"/>
  <c r="Q16" i="12"/>
  <c r="K26" i="12"/>
  <c r="G27" i="12"/>
  <c r="G26" i="12"/>
  <c r="G28" i="12"/>
  <c r="G29" i="12"/>
  <c r="Q44" i="12"/>
  <c r="Q43" i="12"/>
  <c r="Q45" i="12"/>
  <c r="Q46" i="12"/>
  <c r="Q47" i="12" s="1"/>
  <c r="N60" i="12"/>
  <c r="P60" i="12" s="1"/>
  <c r="AE56" i="12"/>
  <c r="G46" i="12"/>
  <c r="G47" i="12" s="1"/>
  <c r="G45" i="12"/>
  <c r="G44" i="12"/>
  <c r="G43" i="12"/>
  <c r="AE47" i="12"/>
  <c r="D34" i="12"/>
  <c r="U29" i="12"/>
  <c r="Q29" i="12"/>
  <c r="AD47" i="12"/>
  <c r="AF47" i="12"/>
  <c r="AF30" i="12"/>
  <c r="Q15" i="12"/>
  <c r="G127" i="3" l="1"/>
  <c r="C31" i="2"/>
  <c r="C30" i="2" s="1"/>
  <c r="D30" i="2" s="1"/>
  <c r="J127" i="3"/>
  <c r="I184" i="3"/>
  <c r="I159" i="3"/>
  <c r="I129" i="3"/>
  <c r="I158" i="3" s="1"/>
  <c r="D16" i="19"/>
  <c r="M177" i="3"/>
  <c r="J177" i="3"/>
  <c r="J148" i="3"/>
  <c r="J121" i="3"/>
  <c r="H70" i="3"/>
  <c r="AG73" i="12"/>
  <c r="AP59" i="12" s="1"/>
  <c r="G129" i="3"/>
  <c r="M129" i="3" s="1"/>
  <c r="AK73" i="12"/>
  <c r="AR46" i="12" s="1"/>
  <c r="H34" i="3"/>
  <c r="H127" i="3"/>
  <c r="H184" i="3" s="1"/>
  <c r="E70" i="3"/>
  <c r="H29" i="13"/>
  <c r="G42" i="13"/>
  <c r="AL52" i="12"/>
  <c r="AO35" i="12" s="1"/>
  <c r="AH52" i="12"/>
  <c r="AH53" i="12"/>
  <c r="AH54" i="12"/>
  <c r="AL65" i="12"/>
  <c r="AO36" i="12" s="1"/>
  <c r="AH71" i="12"/>
  <c r="AH70" i="12"/>
  <c r="AH69" i="12"/>
  <c r="AH72" i="12"/>
  <c r="AH73" i="12" s="1"/>
  <c r="AH43" i="12"/>
  <c r="AH46" i="12"/>
  <c r="AH47" i="12" s="1"/>
  <c r="AH45" i="12"/>
  <c r="AH44" i="12"/>
  <c r="AL26" i="12"/>
  <c r="AO33" i="12" s="1"/>
  <c r="AH27" i="12"/>
  <c r="AH26" i="12"/>
  <c r="AH14" i="12"/>
  <c r="AH13" i="12"/>
  <c r="AH15" i="12"/>
  <c r="AH16" i="12"/>
  <c r="AH29" i="12"/>
  <c r="U73" i="12"/>
  <c r="AL39" i="12"/>
  <c r="AO34" i="12" s="1"/>
  <c r="AL29" i="12"/>
  <c r="AP33" i="12" s="1"/>
  <c r="K60" i="12"/>
  <c r="AG47" i="12"/>
  <c r="AG17" i="12"/>
  <c r="AG30" i="12"/>
  <c r="P21" i="12"/>
  <c r="AG56" i="12"/>
  <c r="P34" i="12"/>
  <c r="F34" i="12"/>
  <c r="K34" i="12" s="1"/>
  <c r="AF34" i="12"/>
  <c r="AP34" i="12"/>
  <c r="AE60" i="12"/>
  <c r="Q20" i="12"/>
  <c r="Q21" i="12" s="1"/>
  <c r="Q19" i="12"/>
  <c r="Q18" i="12"/>
  <c r="Q17" i="12"/>
  <c r="Q57" i="12"/>
  <c r="U56" i="12"/>
  <c r="Q56" i="12"/>
  <c r="Q59" i="12"/>
  <c r="Q60" i="12" s="1"/>
  <c r="Q58" i="12"/>
  <c r="Q31" i="12"/>
  <c r="U30" i="12"/>
  <c r="Q30" i="12"/>
  <c r="Q33" i="12"/>
  <c r="Q34" i="12" s="1"/>
  <c r="Q32" i="12"/>
  <c r="U43" i="12"/>
  <c r="U60" i="12"/>
  <c r="AE21" i="12"/>
  <c r="AG21" i="12" s="1"/>
  <c r="G31" i="12"/>
  <c r="G30" i="12"/>
  <c r="G33" i="12"/>
  <c r="G34" i="12" s="1"/>
  <c r="G32" i="12"/>
  <c r="K30" i="12"/>
  <c r="AE34" i="12"/>
  <c r="G184" i="3" l="1"/>
  <c r="M127" i="3"/>
  <c r="M184" i="3" s="1"/>
  <c r="J159" i="3"/>
  <c r="J129" i="3"/>
  <c r="J184" i="3"/>
  <c r="H119" i="3"/>
  <c r="H181" i="3" s="1"/>
  <c r="AQ59" i="12"/>
  <c r="AG34" i="12"/>
  <c r="E119" i="3" s="1"/>
  <c r="E181" i="3" s="1"/>
  <c r="F119" i="3"/>
  <c r="F181" i="3" s="1"/>
  <c r="AO57" i="12"/>
  <c r="AL86" i="12"/>
  <c r="AR37" i="12" s="1"/>
  <c r="AO59" i="12"/>
  <c r="J147" i="3"/>
  <c r="H129" i="3"/>
  <c r="AO55" i="12"/>
  <c r="D35" i="3"/>
  <c r="D119" i="3" s="1"/>
  <c r="D181" i="3" s="1"/>
  <c r="L59" i="13"/>
  <c r="E63" i="3"/>
  <c r="E127" i="3" s="1"/>
  <c r="E184" i="3" s="1"/>
  <c r="L42" i="13"/>
  <c r="H26" i="13"/>
  <c r="H27" i="13"/>
  <c r="H28" i="13"/>
  <c r="H33" i="13"/>
  <c r="AL34" i="12"/>
  <c r="AO56" i="12"/>
  <c r="AH56" i="12"/>
  <c r="AH59" i="12"/>
  <c r="AH60" i="12" s="1"/>
  <c r="AH58" i="12"/>
  <c r="AH57" i="12"/>
  <c r="AL69" i="12"/>
  <c r="AQ36" i="12" s="1"/>
  <c r="AH18" i="12"/>
  <c r="AH17" i="12"/>
  <c r="AH20" i="12"/>
  <c r="AH21" i="12" s="1"/>
  <c r="AH19" i="12"/>
  <c r="AL30" i="12"/>
  <c r="AQ33" i="12" s="1"/>
  <c r="AH31" i="12"/>
  <c r="AH30" i="12"/>
  <c r="AH33" i="12"/>
  <c r="AH34" i="12" s="1"/>
  <c r="AH32" i="12"/>
  <c r="AL43" i="12"/>
  <c r="AQ34" i="12" s="1"/>
  <c r="AL56" i="12"/>
  <c r="AQ35" i="12" s="1"/>
  <c r="AL47" i="12"/>
  <c r="AG60" i="12"/>
  <c r="U34" i="12"/>
  <c r="AQ55" i="12"/>
  <c r="AP55" i="12"/>
  <c r="AQ57" i="12"/>
  <c r="AP57" i="12"/>
  <c r="U47" i="12"/>
  <c r="K47" i="12"/>
  <c r="J158" i="3" l="1"/>
  <c r="AO58" i="12"/>
  <c r="H121" i="3"/>
  <c r="E129" i="3"/>
  <c r="AQ58" i="12"/>
  <c r="AL73" i="12"/>
  <c r="AR36" i="12" s="1"/>
  <c r="AP58" i="12"/>
  <c r="AL60" i="12"/>
  <c r="AR35" i="12" s="1"/>
  <c r="AR33" i="12"/>
  <c r="AQ56" i="12"/>
  <c r="AP56" i="12"/>
  <c r="AR34" i="12"/>
  <c r="G119" i="3" l="1"/>
  <c r="AB119" i="3" s="1"/>
  <c r="AB181" i="3" s="1"/>
  <c r="C18" i="2"/>
  <c r="AE15" i="11"/>
  <c r="AD15" i="11"/>
  <c r="AC15" i="11"/>
  <c r="AB15" i="11"/>
  <c r="AE6" i="11"/>
  <c r="AD6" i="11"/>
  <c r="AC6" i="11"/>
  <c r="AB6" i="11"/>
  <c r="L24" i="11"/>
  <c r="AP22" i="11" s="1"/>
  <c r="L80" i="11"/>
  <c r="L76" i="11"/>
  <c r="AP71" i="11" s="1"/>
  <c r="F88" i="11"/>
  <c r="E88" i="11"/>
  <c r="D88" i="11"/>
  <c r="C88" i="11"/>
  <c r="O87" i="11"/>
  <c r="N87" i="11"/>
  <c r="M87" i="11"/>
  <c r="L87" i="11"/>
  <c r="AP82" i="11" s="1"/>
  <c r="J87" i="11"/>
  <c r="S100" i="11" s="1"/>
  <c r="I87" i="11"/>
  <c r="R100" i="11" s="1"/>
  <c r="H87" i="11"/>
  <c r="Q100" i="11" s="1"/>
  <c r="G87" i="11"/>
  <c r="P100" i="11" s="1"/>
  <c r="O86" i="11"/>
  <c r="N86" i="11"/>
  <c r="M86" i="11"/>
  <c r="L86" i="11"/>
  <c r="AP81" i="11" s="1"/>
  <c r="J86" i="11"/>
  <c r="S99" i="11" s="1"/>
  <c r="I86" i="11"/>
  <c r="R99" i="11" s="1"/>
  <c r="H86" i="11"/>
  <c r="Q99" i="11" s="1"/>
  <c r="G86" i="11"/>
  <c r="P99" i="11" s="1"/>
  <c r="O85" i="11"/>
  <c r="N85" i="11"/>
  <c r="M85" i="11"/>
  <c r="AQ80" i="11" s="1"/>
  <c r="L85" i="11"/>
  <c r="AP80" i="11" s="1"/>
  <c r="J85" i="11"/>
  <c r="S98" i="11" s="1"/>
  <c r="I85" i="11"/>
  <c r="R98" i="11" s="1"/>
  <c r="H85" i="11"/>
  <c r="Q98" i="11" s="1"/>
  <c r="G85" i="11"/>
  <c r="P98" i="11" s="1"/>
  <c r="O84" i="11"/>
  <c r="N84" i="11"/>
  <c r="M84" i="11"/>
  <c r="AQ79" i="11" s="1"/>
  <c r="L84" i="11"/>
  <c r="AP79" i="11" s="1"/>
  <c r="J84" i="11"/>
  <c r="S97" i="11" s="1"/>
  <c r="I84" i="11"/>
  <c r="R97" i="11" s="1"/>
  <c r="H84" i="11"/>
  <c r="Q97" i="11" s="1"/>
  <c r="G84" i="11"/>
  <c r="P97" i="11" s="1"/>
  <c r="O83" i="11"/>
  <c r="N83" i="11"/>
  <c r="M83" i="11"/>
  <c r="AQ78" i="11" s="1"/>
  <c r="L83" i="11"/>
  <c r="AP78" i="11" s="1"/>
  <c r="J83" i="11"/>
  <c r="S96" i="11" s="1"/>
  <c r="I83" i="11"/>
  <c r="R96" i="11" s="1"/>
  <c r="H83" i="11"/>
  <c r="Q96" i="11" s="1"/>
  <c r="G83" i="11"/>
  <c r="P96" i="11" s="1"/>
  <c r="O82" i="11"/>
  <c r="N82" i="11"/>
  <c r="M82" i="11"/>
  <c r="L82" i="11"/>
  <c r="AP77" i="11" s="1"/>
  <c r="J82" i="11"/>
  <c r="S95" i="11" s="1"/>
  <c r="I82" i="11"/>
  <c r="R95" i="11" s="1"/>
  <c r="H82" i="11"/>
  <c r="Q95" i="11" s="1"/>
  <c r="G82" i="11"/>
  <c r="P95" i="11" s="1"/>
  <c r="O81" i="11"/>
  <c r="N81" i="11"/>
  <c r="M81" i="11"/>
  <c r="AQ76" i="11" s="1"/>
  <c r="L81" i="11"/>
  <c r="AP76" i="11" s="1"/>
  <c r="J81" i="11"/>
  <c r="S94" i="11" s="1"/>
  <c r="I81" i="11"/>
  <c r="R94" i="11" s="1"/>
  <c r="H81" i="11"/>
  <c r="Q94" i="11" s="1"/>
  <c r="G81" i="11"/>
  <c r="P94" i="11" s="1"/>
  <c r="O80" i="11"/>
  <c r="N80" i="11"/>
  <c r="M80" i="11"/>
  <c r="J80" i="11"/>
  <c r="I80" i="11"/>
  <c r="H80" i="11"/>
  <c r="H88" i="11" s="1"/>
  <c r="G80" i="11"/>
  <c r="G88" i="11" s="1"/>
  <c r="O79" i="11"/>
  <c r="N79" i="11"/>
  <c r="M79" i="11"/>
  <c r="L79" i="11"/>
  <c r="J79" i="11"/>
  <c r="I79" i="11"/>
  <c r="H79" i="11"/>
  <c r="G79" i="11"/>
  <c r="O78" i="11"/>
  <c r="N78" i="11"/>
  <c r="M78" i="11"/>
  <c r="AQ73" i="11" s="1"/>
  <c r="L78" i="11"/>
  <c r="AP73" i="11" s="1"/>
  <c r="J78" i="11"/>
  <c r="I78" i="11"/>
  <c r="H78" i="11"/>
  <c r="G78" i="11"/>
  <c r="O77" i="11"/>
  <c r="N77" i="11"/>
  <c r="M77" i="11"/>
  <c r="AQ72" i="11" s="1"/>
  <c r="L77" i="11"/>
  <c r="AP72" i="11" s="1"/>
  <c r="J77" i="11"/>
  <c r="I77" i="11"/>
  <c r="H77" i="11"/>
  <c r="G77" i="11"/>
  <c r="O76" i="11"/>
  <c r="N76" i="11"/>
  <c r="M76" i="11"/>
  <c r="J76" i="11"/>
  <c r="I76" i="11"/>
  <c r="H76" i="11"/>
  <c r="G76" i="11"/>
  <c r="E75" i="11"/>
  <c r="D75" i="11"/>
  <c r="C75" i="11"/>
  <c r="O74" i="11"/>
  <c r="N74" i="11"/>
  <c r="M74" i="11"/>
  <c r="AQ69" i="11" s="1"/>
  <c r="L74" i="11"/>
  <c r="AP69" i="11" s="1"/>
  <c r="J74" i="11"/>
  <c r="I74" i="11"/>
  <c r="H74" i="11"/>
  <c r="G74" i="11"/>
  <c r="O73" i="11"/>
  <c r="N73" i="11"/>
  <c r="M73" i="11"/>
  <c r="AQ68" i="11" s="1"/>
  <c r="L73" i="11"/>
  <c r="AP68" i="11" s="1"/>
  <c r="J73" i="11"/>
  <c r="I73" i="11"/>
  <c r="H73" i="11"/>
  <c r="G73" i="11"/>
  <c r="O72" i="11"/>
  <c r="N72" i="11"/>
  <c r="M72" i="11"/>
  <c r="AQ67" i="11" s="1"/>
  <c r="L72" i="11"/>
  <c r="AP67" i="11" s="1"/>
  <c r="J72" i="11"/>
  <c r="I72" i="11"/>
  <c r="H72" i="11"/>
  <c r="G72" i="11"/>
  <c r="O71" i="11"/>
  <c r="N71" i="11"/>
  <c r="M71" i="11"/>
  <c r="AQ66" i="11" s="1"/>
  <c r="L71" i="11"/>
  <c r="AP66" i="11" s="1"/>
  <c r="J71" i="11"/>
  <c r="I71" i="11"/>
  <c r="H71" i="11"/>
  <c r="G71" i="11"/>
  <c r="O70" i="11"/>
  <c r="N70" i="11"/>
  <c r="M70" i="11"/>
  <c r="AQ65" i="11" s="1"/>
  <c r="L70" i="11"/>
  <c r="AP65" i="11" s="1"/>
  <c r="J70" i="11"/>
  <c r="I70" i="11"/>
  <c r="H70" i="11"/>
  <c r="G70" i="11"/>
  <c r="O69" i="11"/>
  <c r="N69" i="11"/>
  <c r="M69" i="11"/>
  <c r="AQ64" i="11" s="1"/>
  <c r="L69" i="11"/>
  <c r="AP64" i="11" s="1"/>
  <c r="J69" i="11"/>
  <c r="I69" i="11"/>
  <c r="H69" i="11"/>
  <c r="G69" i="11"/>
  <c r="O68" i="11"/>
  <c r="N68" i="11"/>
  <c r="M68" i="11"/>
  <c r="AQ63" i="11" s="1"/>
  <c r="L68" i="11"/>
  <c r="AP63" i="11" s="1"/>
  <c r="J68" i="11"/>
  <c r="I68" i="11"/>
  <c r="H68" i="11"/>
  <c r="G68" i="11"/>
  <c r="O67" i="11"/>
  <c r="N67" i="11"/>
  <c r="M67" i="11"/>
  <c r="AQ62" i="11" s="1"/>
  <c r="L67" i="11"/>
  <c r="AP62" i="11" s="1"/>
  <c r="J67" i="11"/>
  <c r="J75" i="11" s="1"/>
  <c r="I67" i="11"/>
  <c r="I75" i="11" s="1"/>
  <c r="H67" i="11"/>
  <c r="H75" i="11" s="1"/>
  <c r="G67" i="11"/>
  <c r="G75" i="11" s="1"/>
  <c r="O66" i="11"/>
  <c r="N66" i="11"/>
  <c r="M66" i="11"/>
  <c r="AQ61" i="11" s="1"/>
  <c r="L66" i="11"/>
  <c r="AP61" i="11" s="1"/>
  <c r="J66" i="11"/>
  <c r="I66" i="11"/>
  <c r="H66" i="11"/>
  <c r="G66" i="11"/>
  <c r="O65" i="11"/>
  <c r="N65" i="11"/>
  <c r="M65" i="11"/>
  <c r="AQ60" i="11" s="1"/>
  <c r="L65" i="11"/>
  <c r="AP60" i="11" s="1"/>
  <c r="J65" i="11"/>
  <c r="I65" i="11"/>
  <c r="H65" i="11"/>
  <c r="G65" i="11"/>
  <c r="O64" i="11"/>
  <c r="N64" i="11"/>
  <c r="M64" i="11"/>
  <c r="AQ59" i="11" s="1"/>
  <c r="L64" i="11"/>
  <c r="AP59" i="11" s="1"/>
  <c r="J64" i="11"/>
  <c r="I64" i="11"/>
  <c r="H64" i="11"/>
  <c r="G64" i="11"/>
  <c r="O63" i="11"/>
  <c r="N63" i="11"/>
  <c r="M63" i="11"/>
  <c r="AQ58" i="11" s="1"/>
  <c r="L63" i="11"/>
  <c r="AP58" i="11" s="1"/>
  <c r="J63" i="11"/>
  <c r="I63" i="11"/>
  <c r="H63" i="11"/>
  <c r="G63" i="11"/>
  <c r="F62" i="11"/>
  <c r="E62" i="11"/>
  <c r="D62" i="11"/>
  <c r="C62" i="11"/>
  <c r="O61" i="11"/>
  <c r="N61" i="11"/>
  <c r="M61" i="11"/>
  <c r="AQ57" i="11" s="1"/>
  <c r="L61" i="11"/>
  <c r="AP57" i="11" s="1"/>
  <c r="J61" i="11"/>
  <c r="I61" i="11"/>
  <c r="H61" i="11"/>
  <c r="G61" i="11"/>
  <c r="O60" i="11"/>
  <c r="N60" i="11"/>
  <c r="M60" i="11"/>
  <c r="AQ56" i="11" s="1"/>
  <c r="L60" i="11"/>
  <c r="AP56" i="11" s="1"/>
  <c r="J60" i="11"/>
  <c r="I60" i="11"/>
  <c r="H60" i="11"/>
  <c r="G60" i="11"/>
  <c r="O59" i="11"/>
  <c r="N59" i="11"/>
  <c r="M59" i="11"/>
  <c r="AQ55" i="11" s="1"/>
  <c r="L59" i="11"/>
  <c r="AP55" i="11" s="1"/>
  <c r="J59" i="11"/>
  <c r="I59" i="11"/>
  <c r="H59" i="11"/>
  <c r="G59" i="11"/>
  <c r="O58" i="11"/>
  <c r="N58" i="11"/>
  <c r="M58" i="11"/>
  <c r="AQ54" i="11" s="1"/>
  <c r="L58" i="11"/>
  <c r="AP54" i="11" s="1"/>
  <c r="J58" i="11"/>
  <c r="I58" i="11"/>
  <c r="H58" i="11"/>
  <c r="G58" i="11"/>
  <c r="O57" i="11"/>
  <c r="N57" i="11"/>
  <c r="M57" i="11"/>
  <c r="AQ53" i="11" s="1"/>
  <c r="L57" i="11"/>
  <c r="AP53" i="11" s="1"/>
  <c r="J57" i="11"/>
  <c r="I57" i="11"/>
  <c r="H57" i="11"/>
  <c r="G57" i="11"/>
  <c r="O56" i="11"/>
  <c r="N56" i="11"/>
  <c r="M56" i="11"/>
  <c r="AQ52" i="11" s="1"/>
  <c r="L56" i="11"/>
  <c r="AP52" i="11" s="1"/>
  <c r="J56" i="11"/>
  <c r="I56" i="11"/>
  <c r="H56" i="11"/>
  <c r="G56" i="11"/>
  <c r="O55" i="11"/>
  <c r="N55" i="11"/>
  <c r="M55" i="11"/>
  <c r="AQ51" i="11" s="1"/>
  <c r="L55" i="11"/>
  <c r="AP51" i="11" s="1"/>
  <c r="J55" i="11"/>
  <c r="I55" i="11"/>
  <c r="H55" i="11"/>
  <c r="G55" i="11"/>
  <c r="O54" i="11"/>
  <c r="N54" i="11"/>
  <c r="M54" i="11"/>
  <c r="AQ50" i="11" s="1"/>
  <c r="L54" i="11"/>
  <c r="AP50" i="11" s="1"/>
  <c r="J54" i="11"/>
  <c r="J62" i="11" s="1"/>
  <c r="I54" i="11"/>
  <c r="I62" i="11" s="1"/>
  <c r="H54" i="11"/>
  <c r="G54" i="11"/>
  <c r="O53" i="11"/>
  <c r="N53" i="11"/>
  <c r="M53" i="11"/>
  <c r="AQ49" i="11" s="1"/>
  <c r="L53" i="11"/>
  <c r="AP49" i="11" s="1"/>
  <c r="J53" i="11"/>
  <c r="I53" i="11"/>
  <c r="H53" i="11"/>
  <c r="G53" i="11"/>
  <c r="O52" i="11"/>
  <c r="N52" i="11"/>
  <c r="M52" i="11"/>
  <c r="AQ48" i="11" s="1"/>
  <c r="L52" i="11"/>
  <c r="AP48" i="11" s="1"/>
  <c r="J52" i="11"/>
  <c r="I52" i="11"/>
  <c r="H52" i="11"/>
  <c r="G52" i="11"/>
  <c r="O51" i="11"/>
  <c r="N51" i="11"/>
  <c r="M51" i="11"/>
  <c r="AQ47" i="11" s="1"/>
  <c r="L51" i="11"/>
  <c r="AP47" i="11" s="1"/>
  <c r="J51" i="11"/>
  <c r="I51" i="11"/>
  <c r="H51" i="11"/>
  <c r="G51" i="11"/>
  <c r="O50" i="11"/>
  <c r="N50" i="11"/>
  <c r="M50" i="11"/>
  <c r="AQ46" i="11" s="1"/>
  <c r="L50" i="11"/>
  <c r="AP46" i="11" s="1"/>
  <c r="J50" i="11"/>
  <c r="I50" i="11"/>
  <c r="H50" i="11"/>
  <c r="G50" i="11"/>
  <c r="F49" i="11"/>
  <c r="E49" i="11"/>
  <c r="D49" i="11"/>
  <c r="C49" i="11"/>
  <c r="O48" i="11"/>
  <c r="N48" i="11"/>
  <c r="M48" i="11"/>
  <c r="AQ45" i="11" s="1"/>
  <c r="L48" i="11"/>
  <c r="AP45" i="11" s="1"/>
  <c r="J48" i="11"/>
  <c r="I48" i="11"/>
  <c r="H48" i="11"/>
  <c r="G48" i="11"/>
  <c r="O47" i="11"/>
  <c r="N47" i="11"/>
  <c r="M47" i="11"/>
  <c r="AQ44" i="11" s="1"/>
  <c r="L47" i="11"/>
  <c r="AP44" i="11" s="1"/>
  <c r="J47" i="11"/>
  <c r="I47" i="11"/>
  <c r="H47" i="11"/>
  <c r="G47" i="11"/>
  <c r="O46" i="11"/>
  <c r="N46" i="11"/>
  <c r="M46" i="11"/>
  <c r="AQ43" i="11" s="1"/>
  <c r="L46" i="11"/>
  <c r="AP43" i="11" s="1"/>
  <c r="J46" i="11"/>
  <c r="I46" i="11"/>
  <c r="H46" i="11"/>
  <c r="G46" i="11"/>
  <c r="O45" i="11"/>
  <c r="N45" i="11"/>
  <c r="M45" i="11"/>
  <c r="AQ42" i="11" s="1"/>
  <c r="L45" i="11"/>
  <c r="AP42" i="11" s="1"/>
  <c r="J45" i="11"/>
  <c r="I45" i="11"/>
  <c r="R58" i="11" s="1"/>
  <c r="H45" i="11"/>
  <c r="G45" i="11"/>
  <c r="O44" i="11"/>
  <c r="N44" i="11"/>
  <c r="M44" i="11"/>
  <c r="AQ41" i="11" s="1"/>
  <c r="L44" i="11"/>
  <c r="AP41" i="11" s="1"/>
  <c r="J44" i="11"/>
  <c r="I44" i="11"/>
  <c r="H44" i="11"/>
  <c r="G44" i="11"/>
  <c r="O43" i="11"/>
  <c r="N43" i="11"/>
  <c r="M43" i="11"/>
  <c r="AQ40" i="11" s="1"/>
  <c r="L43" i="11"/>
  <c r="AP40" i="11" s="1"/>
  <c r="J43" i="11"/>
  <c r="I43" i="11"/>
  <c r="H43" i="11"/>
  <c r="G43" i="11"/>
  <c r="O42" i="11"/>
  <c r="N42" i="11"/>
  <c r="M42" i="11"/>
  <c r="AQ39" i="11" s="1"/>
  <c r="L42" i="11"/>
  <c r="AP39" i="11" s="1"/>
  <c r="J42" i="11"/>
  <c r="S55" i="11" s="1"/>
  <c r="I42" i="11"/>
  <c r="H42" i="11"/>
  <c r="G42" i="11"/>
  <c r="O41" i="11"/>
  <c r="N41" i="11"/>
  <c r="M41" i="11"/>
  <c r="AQ38" i="11" s="1"/>
  <c r="L41" i="11"/>
  <c r="AP38" i="11" s="1"/>
  <c r="J41" i="11"/>
  <c r="I41" i="11"/>
  <c r="H41" i="11"/>
  <c r="H49" i="11" s="1"/>
  <c r="G41" i="11"/>
  <c r="G49" i="11" s="1"/>
  <c r="O40" i="11"/>
  <c r="N40" i="11"/>
  <c r="M40" i="11"/>
  <c r="AQ37" i="11" s="1"/>
  <c r="L40" i="11"/>
  <c r="AP37" i="11" s="1"/>
  <c r="J40" i="11"/>
  <c r="I40" i="11"/>
  <c r="H40" i="11"/>
  <c r="G40" i="11"/>
  <c r="O39" i="11"/>
  <c r="N39" i="11"/>
  <c r="M39" i="11"/>
  <c r="AQ36" i="11" s="1"/>
  <c r="L39" i="11"/>
  <c r="AP36" i="11" s="1"/>
  <c r="J39" i="11"/>
  <c r="I39" i="11"/>
  <c r="H39" i="11"/>
  <c r="G39" i="11"/>
  <c r="O38" i="11"/>
  <c r="N38" i="11"/>
  <c r="M38" i="11"/>
  <c r="AQ35" i="11" s="1"/>
  <c r="L38" i="11"/>
  <c r="AP35" i="11" s="1"/>
  <c r="J38" i="11"/>
  <c r="I38" i="11"/>
  <c r="H38" i="11"/>
  <c r="G38" i="11"/>
  <c r="O37" i="11"/>
  <c r="N37" i="11"/>
  <c r="M37" i="11"/>
  <c r="AQ34" i="11" s="1"/>
  <c r="L37" i="11"/>
  <c r="AP34" i="11" s="1"/>
  <c r="J37" i="11"/>
  <c r="I37" i="11"/>
  <c r="H37" i="11"/>
  <c r="G37" i="11"/>
  <c r="F36" i="11"/>
  <c r="E36" i="11"/>
  <c r="D36" i="11"/>
  <c r="C36" i="11"/>
  <c r="O35" i="11"/>
  <c r="N35" i="11"/>
  <c r="M35" i="11"/>
  <c r="AQ33" i="11" s="1"/>
  <c r="L35" i="11"/>
  <c r="AP33" i="11" s="1"/>
  <c r="J35" i="11"/>
  <c r="I35" i="11"/>
  <c r="H35" i="11"/>
  <c r="G35" i="11"/>
  <c r="O34" i="11"/>
  <c r="N34" i="11"/>
  <c r="M34" i="11"/>
  <c r="AQ32" i="11" s="1"/>
  <c r="L34" i="11"/>
  <c r="AP32" i="11" s="1"/>
  <c r="J34" i="11"/>
  <c r="I34" i="11"/>
  <c r="H34" i="11"/>
  <c r="G34" i="11"/>
  <c r="O33" i="11"/>
  <c r="N33" i="11"/>
  <c r="M33" i="11"/>
  <c r="AQ31" i="11" s="1"/>
  <c r="L33" i="11"/>
  <c r="AP31" i="11" s="1"/>
  <c r="J33" i="11"/>
  <c r="I33" i="11"/>
  <c r="H33" i="11"/>
  <c r="G33" i="11"/>
  <c r="O32" i="11"/>
  <c r="N32" i="11"/>
  <c r="M32" i="11"/>
  <c r="AQ30" i="11" s="1"/>
  <c r="L32" i="11"/>
  <c r="AP30" i="11" s="1"/>
  <c r="J32" i="11"/>
  <c r="I32" i="11"/>
  <c r="H32" i="11"/>
  <c r="G32" i="11"/>
  <c r="O31" i="11"/>
  <c r="N31" i="11"/>
  <c r="M31" i="11"/>
  <c r="AQ29" i="11" s="1"/>
  <c r="L31" i="11"/>
  <c r="AP29" i="11" s="1"/>
  <c r="J31" i="11"/>
  <c r="I31" i="11"/>
  <c r="H31" i="11"/>
  <c r="G31" i="11"/>
  <c r="O30" i="11"/>
  <c r="N30" i="11"/>
  <c r="M30" i="11"/>
  <c r="AQ28" i="11" s="1"/>
  <c r="L30" i="11"/>
  <c r="AP28" i="11" s="1"/>
  <c r="J30" i="11"/>
  <c r="I30" i="11"/>
  <c r="H30" i="11"/>
  <c r="G30" i="11"/>
  <c r="O29" i="11"/>
  <c r="N29" i="11"/>
  <c r="M29" i="11"/>
  <c r="AQ27" i="11" s="1"/>
  <c r="L29" i="11"/>
  <c r="AP27" i="11" s="1"/>
  <c r="J29" i="11"/>
  <c r="I29" i="11"/>
  <c r="H29" i="11"/>
  <c r="G29" i="11"/>
  <c r="O28" i="11"/>
  <c r="N28" i="11"/>
  <c r="M28" i="11"/>
  <c r="AQ26" i="11" s="1"/>
  <c r="L28" i="11"/>
  <c r="AP26" i="11" s="1"/>
  <c r="J28" i="11"/>
  <c r="J36" i="11" s="1"/>
  <c r="I28" i="11"/>
  <c r="I36" i="11" s="1"/>
  <c r="H28" i="11"/>
  <c r="G28" i="11"/>
  <c r="G36" i="11" s="1"/>
  <c r="O27" i="11"/>
  <c r="N27" i="11"/>
  <c r="M27" i="11"/>
  <c r="AQ25" i="11" s="1"/>
  <c r="L27" i="11"/>
  <c r="AP25" i="11" s="1"/>
  <c r="J27" i="11"/>
  <c r="I27" i="11"/>
  <c r="H27" i="11"/>
  <c r="G27" i="11"/>
  <c r="O26" i="11"/>
  <c r="N26" i="11"/>
  <c r="M26" i="11"/>
  <c r="AQ24" i="11" s="1"/>
  <c r="L26" i="11"/>
  <c r="AP24" i="11" s="1"/>
  <c r="J26" i="11"/>
  <c r="I26" i="11"/>
  <c r="H26" i="11"/>
  <c r="G26" i="11"/>
  <c r="O25" i="11"/>
  <c r="N25" i="11"/>
  <c r="M25" i="11"/>
  <c r="AQ23" i="11" s="1"/>
  <c r="L25" i="11"/>
  <c r="AP23" i="11" s="1"/>
  <c r="J25" i="11"/>
  <c r="I25" i="11"/>
  <c r="H25" i="11"/>
  <c r="G25" i="11"/>
  <c r="O24" i="11"/>
  <c r="N24" i="11"/>
  <c r="M24" i="11"/>
  <c r="AQ22" i="11" s="1"/>
  <c r="J24" i="11"/>
  <c r="I24" i="11"/>
  <c r="H24" i="11"/>
  <c r="G24" i="11"/>
  <c r="F23" i="11"/>
  <c r="E23" i="11"/>
  <c r="D23" i="11"/>
  <c r="C23" i="11"/>
  <c r="J22" i="11"/>
  <c r="I22" i="11"/>
  <c r="H22" i="11"/>
  <c r="G22" i="11"/>
  <c r="J21" i="11"/>
  <c r="I21" i="11"/>
  <c r="H21" i="11"/>
  <c r="G21" i="11"/>
  <c r="J20" i="11"/>
  <c r="I20" i="11"/>
  <c r="H20" i="11"/>
  <c r="G20" i="11"/>
  <c r="J19" i="11"/>
  <c r="I19" i="11"/>
  <c r="R32" i="11" s="1"/>
  <c r="H19" i="11"/>
  <c r="G19" i="11"/>
  <c r="J18" i="11"/>
  <c r="I18" i="11"/>
  <c r="H18" i="11"/>
  <c r="G18" i="11"/>
  <c r="J17" i="11"/>
  <c r="I17" i="11"/>
  <c r="H17" i="11"/>
  <c r="G17" i="11"/>
  <c r="Y15" i="11"/>
  <c r="X15" i="11"/>
  <c r="W15" i="11"/>
  <c r="V15" i="11"/>
  <c r="J16" i="11"/>
  <c r="I16" i="11"/>
  <c r="H16" i="11"/>
  <c r="G16" i="11"/>
  <c r="J15" i="11"/>
  <c r="J23" i="11" s="1"/>
  <c r="I15" i="11"/>
  <c r="I23" i="11" s="1"/>
  <c r="H15" i="11"/>
  <c r="H23" i="11" s="1"/>
  <c r="G15" i="11"/>
  <c r="G23" i="11" s="1"/>
  <c r="J14" i="11"/>
  <c r="I14" i="11"/>
  <c r="H14" i="11"/>
  <c r="G14" i="11"/>
  <c r="J13" i="11"/>
  <c r="I13" i="11"/>
  <c r="H13" i="11"/>
  <c r="G13" i="11"/>
  <c r="J12" i="11"/>
  <c r="I12" i="11"/>
  <c r="H12" i="11"/>
  <c r="G12" i="11"/>
  <c r="J11" i="11"/>
  <c r="I11" i="11"/>
  <c r="H11" i="11"/>
  <c r="G11" i="11"/>
  <c r="AQ9" i="11"/>
  <c r="AP9" i="11"/>
  <c r="Y6" i="11"/>
  <c r="X6" i="11"/>
  <c r="W6" i="11"/>
  <c r="V6" i="11"/>
  <c r="AO2" i="11"/>
  <c r="AO11" i="11" s="1"/>
  <c r="AO12" i="11" s="1"/>
  <c r="AO13" i="11" s="1"/>
  <c r="AO14" i="11" s="1"/>
  <c r="AO15" i="11" s="1"/>
  <c r="AO16" i="11" s="1"/>
  <c r="AO17" i="11" s="1"/>
  <c r="AO18" i="11" s="1"/>
  <c r="AO19" i="11" s="1"/>
  <c r="AO20" i="11" s="1"/>
  <c r="AO21" i="11" s="1"/>
  <c r="AO22" i="11" s="1"/>
  <c r="AO23" i="11" s="1"/>
  <c r="AO24" i="11" s="1"/>
  <c r="AO25" i="11" s="1"/>
  <c r="AO26" i="11" s="1"/>
  <c r="AO27" i="11" s="1"/>
  <c r="AO28" i="11" s="1"/>
  <c r="AO29" i="11" s="1"/>
  <c r="AO30" i="11" s="1"/>
  <c r="AO31" i="11" s="1"/>
  <c r="AO32" i="11" s="1"/>
  <c r="AO33" i="11" s="1"/>
  <c r="AO34" i="11" s="1"/>
  <c r="AO35" i="11" s="1"/>
  <c r="AO36" i="11" s="1"/>
  <c r="AO37" i="11" s="1"/>
  <c r="AO38" i="11" s="1"/>
  <c r="AO39" i="11" s="1"/>
  <c r="AO40" i="11" s="1"/>
  <c r="AO41" i="11" s="1"/>
  <c r="AO42" i="11" s="1"/>
  <c r="AO43" i="11" s="1"/>
  <c r="AO44" i="11" s="1"/>
  <c r="AO45" i="11" s="1"/>
  <c r="AO46" i="11" s="1"/>
  <c r="AO47" i="11" s="1"/>
  <c r="AO48" i="11" s="1"/>
  <c r="AO49" i="11" s="1"/>
  <c r="AO50" i="11" s="1"/>
  <c r="AO51" i="11" s="1"/>
  <c r="AO52" i="11" s="1"/>
  <c r="AO53" i="11" s="1"/>
  <c r="AO54" i="11" s="1"/>
  <c r="AO55" i="11" s="1"/>
  <c r="AO58" i="11" s="1"/>
  <c r="AO59" i="11" s="1"/>
  <c r="AO60" i="11" s="1"/>
  <c r="AO61" i="11" s="1"/>
  <c r="AO62" i="11" s="1"/>
  <c r="AO63" i="11" s="1"/>
  <c r="AO64" i="11" s="1"/>
  <c r="AO65" i="11" s="1"/>
  <c r="AO66" i="11" s="1"/>
  <c r="AO67" i="11" s="1"/>
  <c r="AO68" i="11" s="1"/>
  <c r="AO69" i="11" s="1"/>
  <c r="AO70" i="11" s="1"/>
  <c r="AO71" i="11" s="1"/>
  <c r="AO72" i="11" s="1"/>
  <c r="AO73" i="11" s="1"/>
  <c r="AL11" i="11"/>
  <c r="C16" i="2" l="1"/>
  <c r="D16" i="2"/>
  <c r="G181" i="3"/>
  <c r="M119" i="3"/>
  <c r="M181" i="3" s="1"/>
  <c r="O88" i="11"/>
  <c r="Y21" i="11" s="1"/>
  <c r="Y12" i="11"/>
  <c r="O101" i="11"/>
  <c r="Y22" i="11" s="1"/>
  <c r="X12" i="11"/>
  <c r="N101" i="11"/>
  <c r="X22" i="11" s="1"/>
  <c r="W12" i="11"/>
  <c r="V84" i="11"/>
  <c r="M101" i="11"/>
  <c r="W22" i="11" s="1"/>
  <c r="V12" i="11"/>
  <c r="L101" i="11"/>
  <c r="V22" i="11" s="1"/>
  <c r="M49" i="11"/>
  <c r="R50" i="11"/>
  <c r="S51" i="11"/>
  <c r="N49" i="11"/>
  <c r="S80" i="11"/>
  <c r="S24" i="11"/>
  <c r="S41" i="11"/>
  <c r="P24" i="11"/>
  <c r="S53" i="11"/>
  <c r="Q76" i="11"/>
  <c r="R77" i="11"/>
  <c r="R78" i="11"/>
  <c r="S81" i="11"/>
  <c r="S83" i="11"/>
  <c r="S84" i="11"/>
  <c r="S85" i="11"/>
  <c r="S86" i="11"/>
  <c r="S87" i="11"/>
  <c r="P58" i="11"/>
  <c r="Q74" i="11"/>
  <c r="R52" i="11"/>
  <c r="R60" i="11"/>
  <c r="P54" i="11"/>
  <c r="J49" i="11"/>
  <c r="Q58" i="11"/>
  <c r="R28" i="11"/>
  <c r="Q47" i="11"/>
  <c r="S45" i="11"/>
  <c r="S59" i="11"/>
  <c r="S57" i="11"/>
  <c r="G62" i="11"/>
  <c r="J88" i="11"/>
  <c r="Q32" i="11"/>
  <c r="S63" i="11"/>
  <c r="Q41" i="11"/>
  <c r="H36" i="11"/>
  <c r="R54" i="11"/>
  <c r="I49" i="11"/>
  <c r="R62" i="11" s="1"/>
  <c r="R80" i="11"/>
  <c r="I88" i="11"/>
  <c r="P36" i="11"/>
  <c r="S37" i="11"/>
  <c r="S47" i="11"/>
  <c r="P57" i="11"/>
  <c r="Q54" i="11"/>
  <c r="H62" i="11"/>
  <c r="Q75" i="11" s="1"/>
  <c r="R61" i="11"/>
  <c r="R24" i="11"/>
  <c r="R26" i="11"/>
  <c r="S48" i="11"/>
  <c r="P50" i="11"/>
  <c r="Q52" i="11"/>
  <c r="P61" i="11"/>
  <c r="M62" i="11"/>
  <c r="S65" i="11"/>
  <c r="R66" i="11"/>
  <c r="S77" i="11"/>
  <c r="P81" i="11"/>
  <c r="P83" i="11"/>
  <c r="P84" i="11"/>
  <c r="P85" i="11"/>
  <c r="N36" i="11"/>
  <c r="R29" i="11"/>
  <c r="Q30" i="11"/>
  <c r="R47" i="11"/>
  <c r="S35" i="11"/>
  <c r="S39" i="11"/>
  <c r="Q48" i="11"/>
  <c r="O49" i="11"/>
  <c r="Q50" i="11"/>
  <c r="R65" i="11"/>
  <c r="P53" i="11"/>
  <c r="R68" i="11"/>
  <c r="P65" i="11"/>
  <c r="P88" i="11"/>
  <c r="S31" i="11"/>
  <c r="S44" i="11"/>
  <c r="R27" i="11"/>
  <c r="S29" i="11"/>
  <c r="S42" i="11"/>
  <c r="R56" i="11"/>
  <c r="L49" i="11"/>
  <c r="Q64" i="11"/>
  <c r="R25" i="11"/>
  <c r="Q26" i="11"/>
  <c r="S27" i="11"/>
  <c r="S40" i="11"/>
  <c r="Q51" i="11"/>
  <c r="S52" i="11"/>
  <c r="Q55" i="11"/>
  <c r="Q59" i="11"/>
  <c r="R64" i="11"/>
  <c r="S25" i="11"/>
  <c r="S38" i="11"/>
  <c r="R30" i="11"/>
  <c r="R31" i="11"/>
  <c r="S33" i="11"/>
  <c r="S46" i="11"/>
  <c r="L36" i="11"/>
  <c r="Q67" i="11"/>
  <c r="Q71" i="11"/>
  <c r="R79" i="11"/>
  <c r="P86" i="11"/>
  <c r="P87" i="11"/>
  <c r="L88" i="11"/>
  <c r="S60" i="11"/>
  <c r="Q61" i="11"/>
  <c r="S66" i="11"/>
  <c r="N75" i="11"/>
  <c r="Q24" i="11"/>
  <c r="P25" i="11"/>
  <c r="R39" i="11"/>
  <c r="P27" i="11"/>
  <c r="R41" i="11"/>
  <c r="P29" i="11"/>
  <c r="P31" i="11"/>
  <c r="R45" i="11"/>
  <c r="P33" i="11"/>
  <c r="P37" i="11"/>
  <c r="P39" i="11"/>
  <c r="P41" i="11"/>
  <c r="P45" i="11"/>
  <c r="R63" i="11"/>
  <c r="P52" i="11"/>
  <c r="Q53" i="11"/>
  <c r="Q56" i="11"/>
  <c r="Q57" i="11"/>
  <c r="P60" i="11"/>
  <c r="O62" i="11"/>
  <c r="P63" i="11"/>
  <c r="S64" i="11"/>
  <c r="Q65" i="11"/>
  <c r="P66" i="11"/>
  <c r="S68" i="11"/>
  <c r="S70" i="11"/>
  <c r="S71" i="11"/>
  <c r="S72" i="11"/>
  <c r="S73" i="11"/>
  <c r="S76" i="11"/>
  <c r="P77" i="11"/>
  <c r="P78" i="11"/>
  <c r="P79" i="11"/>
  <c r="P80" i="11"/>
  <c r="Q81" i="11"/>
  <c r="Q88" i="11"/>
  <c r="Q83" i="11"/>
  <c r="Q84" i="11"/>
  <c r="Q85" i="11"/>
  <c r="Q86" i="11"/>
  <c r="Q87" i="11"/>
  <c r="M88" i="11"/>
  <c r="R76" i="11"/>
  <c r="S78" i="11"/>
  <c r="S79" i="11"/>
  <c r="AL12" i="11"/>
  <c r="AL13" i="11" s="1"/>
  <c r="AL14" i="11" s="1"/>
  <c r="AL15" i="11" s="1"/>
  <c r="AL16" i="11" s="1"/>
  <c r="AL17" i="11" s="1"/>
  <c r="AL18" i="11" s="1"/>
  <c r="AL19" i="11" s="1"/>
  <c r="AL20" i="11" s="1"/>
  <c r="AL21" i="11" s="1"/>
  <c r="AL22" i="11" s="1"/>
  <c r="AL23" i="11" s="1"/>
  <c r="AL24" i="11" s="1"/>
  <c r="AL25" i="11" s="1"/>
  <c r="AL26" i="11" s="1"/>
  <c r="AL27" i="11" s="1"/>
  <c r="AL28" i="11" s="1"/>
  <c r="AL29" i="11" s="1"/>
  <c r="AL30" i="11" s="1"/>
  <c r="AL31" i="11" s="1"/>
  <c r="AL32" i="11" s="1"/>
  <c r="AL33" i="11" s="1"/>
  <c r="AL34" i="11" s="1"/>
  <c r="AL35" i="11" s="1"/>
  <c r="AL36" i="11" s="1"/>
  <c r="AL37" i="11" s="1"/>
  <c r="AL38" i="11" s="1"/>
  <c r="AL39" i="11" s="1"/>
  <c r="AL40" i="11" s="1"/>
  <c r="AL41" i="11" s="1"/>
  <c r="AL42" i="11" s="1"/>
  <c r="AL43" i="11" s="1"/>
  <c r="AL44" i="11" s="1"/>
  <c r="AL45" i="11" s="1"/>
  <c r="AL46" i="11" s="1"/>
  <c r="AL47" i="11" s="1"/>
  <c r="AL48" i="11" s="1"/>
  <c r="AL49" i="11" s="1"/>
  <c r="AL50" i="11" s="1"/>
  <c r="AL51" i="11" s="1"/>
  <c r="AL52" i="11" s="1"/>
  <c r="AL53" i="11" s="1"/>
  <c r="AL54" i="11" s="1"/>
  <c r="AL55" i="11" s="1"/>
  <c r="AL56" i="11" s="1"/>
  <c r="AL57" i="11" s="1"/>
  <c r="AL58" i="11" s="1"/>
  <c r="AL59" i="11" s="1"/>
  <c r="AL60" i="11" s="1"/>
  <c r="AL61" i="11" s="1"/>
  <c r="AL62" i="11" s="1"/>
  <c r="AL63" i="11" s="1"/>
  <c r="AL64" i="11" s="1"/>
  <c r="AL65" i="11" s="1"/>
  <c r="AL66" i="11" s="1"/>
  <c r="AL67" i="11" s="1"/>
  <c r="AL68" i="11" s="1"/>
  <c r="AL69" i="11" s="1"/>
  <c r="AL70" i="11" s="1"/>
  <c r="AL71" i="11" s="1"/>
  <c r="AL72" i="11" s="1"/>
  <c r="AL73" i="11" s="1"/>
  <c r="R37" i="11"/>
  <c r="Q25" i="11"/>
  <c r="Q27" i="11"/>
  <c r="Q29" i="11"/>
  <c r="Q31" i="11"/>
  <c r="Q33" i="11"/>
  <c r="O36" i="11"/>
  <c r="P48" i="11"/>
  <c r="N62" i="11"/>
  <c r="S50" i="11"/>
  <c r="P51" i="11"/>
  <c r="S54" i="11"/>
  <c r="P55" i="11"/>
  <c r="R70" i="11"/>
  <c r="S58" i="11"/>
  <c r="P59" i="11"/>
  <c r="S61" i="11"/>
  <c r="L62" i="11"/>
  <c r="Q63" i="11"/>
  <c r="P64" i="11"/>
  <c r="Q66" i="11"/>
  <c r="P67" i="11"/>
  <c r="P68" i="11"/>
  <c r="P70" i="11"/>
  <c r="P71" i="11"/>
  <c r="P72" i="11"/>
  <c r="P73" i="11"/>
  <c r="P74" i="11"/>
  <c r="L75" i="11"/>
  <c r="AP70" i="11" s="1"/>
  <c r="P76" i="11"/>
  <c r="Q77" i="11"/>
  <c r="Q78" i="11"/>
  <c r="Q79" i="11"/>
  <c r="Q80" i="11"/>
  <c r="R81" i="11"/>
  <c r="R83" i="11"/>
  <c r="R84" i="11"/>
  <c r="R85" i="11"/>
  <c r="R86" i="11"/>
  <c r="R87" i="11"/>
  <c r="N88" i="11"/>
  <c r="X21" i="11" s="1"/>
  <c r="P49" i="11"/>
  <c r="P82" i="11"/>
  <c r="Q82" i="11"/>
  <c r="R82" i="11"/>
  <c r="S82" i="11"/>
  <c r="R72" i="11"/>
  <c r="R73" i="11"/>
  <c r="Q73" i="11"/>
  <c r="M75" i="11"/>
  <c r="Q43" i="11"/>
  <c r="R43" i="11"/>
  <c r="R33" i="11"/>
  <c r="S34" i="11"/>
  <c r="Q37" i="11"/>
  <c r="R51" i="11"/>
  <c r="R38" i="11"/>
  <c r="Q40" i="11"/>
  <c r="Q45" i="11"/>
  <c r="R59" i="11"/>
  <c r="R46" i="11"/>
  <c r="R57" i="11"/>
  <c r="R44" i="11"/>
  <c r="Q46" i="11"/>
  <c r="S26" i="11"/>
  <c r="S28" i="11"/>
  <c r="S32" i="11"/>
  <c r="P34" i="11"/>
  <c r="Q34" i="11"/>
  <c r="Q35" i="11"/>
  <c r="S36" i="11"/>
  <c r="Q39" i="11"/>
  <c r="R53" i="11"/>
  <c r="R40" i="11"/>
  <c r="Q42" i="11"/>
  <c r="Q38" i="11"/>
  <c r="P26" i="11"/>
  <c r="P28" i="11"/>
  <c r="Q28" i="11"/>
  <c r="P32" i="11"/>
  <c r="R48" i="11"/>
  <c r="R35" i="11"/>
  <c r="R55" i="11"/>
  <c r="R42" i="11"/>
  <c r="Q44" i="11"/>
  <c r="R34" i="11"/>
  <c r="P30" i="11"/>
  <c r="M36" i="11"/>
  <c r="Q68" i="11"/>
  <c r="P69" i="11"/>
  <c r="P47" i="11"/>
  <c r="Q60" i="11"/>
  <c r="R67" i="11"/>
  <c r="S67" i="11"/>
  <c r="Q69" i="11"/>
  <c r="Q70" i="11"/>
  <c r="O75" i="11"/>
  <c r="R69" i="11"/>
  <c r="S69" i="11"/>
  <c r="Q72" i="11"/>
  <c r="R74" i="11"/>
  <c r="S30" i="11"/>
  <c r="P35" i="11"/>
  <c r="P38" i="11"/>
  <c r="P40" i="11"/>
  <c r="P42" i="11"/>
  <c r="S43" i="11"/>
  <c r="P44" i="11"/>
  <c r="P46" i="11"/>
  <c r="S56" i="11"/>
  <c r="S75" i="11"/>
  <c r="R71" i="11"/>
  <c r="S74" i="11"/>
  <c r="P43" i="11"/>
  <c r="P56" i="11"/>
  <c r="W21" i="11" l="1"/>
  <c r="AP83" i="11"/>
  <c r="V21" i="11"/>
  <c r="P75" i="11"/>
  <c r="P62" i="11"/>
  <c r="S62" i="11"/>
  <c r="R88" i="11"/>
  <c r="S49" i="11"/>
  <c r="S88" i="11"/>
  <c r="Q62" i="11"/>
  <c r="R75" i="11"/>
  <c r="Q36" i="11"/>
  <c r="R49" i="11"/>
  <c r="R36" i="11"/>
  <c r="Q49" i="11"/>
  <c r="S122" i="10" l="1"/>
  <c r="X116" i="10"/>
  <c r="W117" i="10"/>
  <c r="U204" i="10"/>
  <c r="T204" i="10"/>
  <c r="T203" i="10"/>
  <c r="S211" i="10"/>
  <c r="S213" i="10" s="1"/>
  <c r="P211" i="10"/>
  <c r="T202" i="10"/>
  <c r="U200" i="10"/>
  <c r="S198" i="10"/>
  <c r="U199" i="10" s="1"/>
  <c r="O202" i="10"/>
  <c r="M189" i="10"/>
  <c r="R67" i="10" s="1"/>
  <c r="K189" i="10"/>
  <c r="J189" i="10"/>
  <c r="I189" i="10"/>
  <c r="E189" i="10"/>
  <c r="D189" i="10"/>
  <c r="C189" i="10"/>
  <c r="F189" i="10" s="1"/>
  <c r="S176" i="10"/>
  <c r="R176" i="10"/>
  <c r="Q176" i="10"/>
  <c r="O176" i="10"/>
  <c r="C176" i="10"/>
  <c r="O175" i="10"/>
  <c r="U117" i="10"/>
  <c r="W116" i="10"/>
  <c r="U116" i="10"/>
  <c r="W115" i="10"/>
  <c r="U115" i="10"/>
  <c r="W114" i="10"/>
  <c r="U114" i="10"/>
  <c r="W113" i="10"/>
  <c r="U113" i="10"/>
  <c r="W112" i="10"/>
  <c r="U112" i="10"/>
  <c r="W111" i="10"/>
  <c r="U111" i="10"/>
  <c r="W110" i="10"/>
  <c r="U110" i="10"/>
  <c r="W109" i="10"/>
  <c r="U109" i="10"/>
  <c r="W108" i="10"/>
  <c r="U108" i="10"/>
  <c r="W107" i="10"/>
  <c r="U107" i="10"/>
  <c r="W106" i="10"/>
  <c r="U106" i="10"/>
  <c r="W105" i="10"/>
  <c r="U105" i="10"/>
  <c r="W104" i="10"/>
  <c r="U104" i="10"/>
  <c r="V76" i="10"/>
  <c r="V75" i="10"/>
  <c r="S73" i="10"/>
  <c r="S74" i="10" s="1"/>
  <c r="R68" i="10"/>
  <c r="R66" i="10"/>
  <c r="AA65" i="10"/>
  <c r="Z65" i="10"/>
  <c r="R65" i="10"/>
  <c r="AB64" i="10"/>
  <c r="R64" i="10"/>
  <c r="AB63" i="10"/>
  <c r="R63" i="10"/>
  <c r="AB62" i="10"/>
  <c r="R62" i="10"/>
  <c r="S62" i="10" s="1"/>
  <c r="T62" i="10" s="1"/>
  <c r="BS50" i="10"/>
  <c r="Y32" i="10"/>
  <c r="X32" i="10"/>
  <c r="AN32" i="10" s="1"/>
  <c r="W32" i="10"/>
  <c r="Y31" i="10"/>
  <c r="X31" i="10"/>
  <c r="W31" i="10"/>
  <c r="Y30" i="10"/>
  <c r="X30" i="10"/>
  <c r="AN30" i="10" s="1"/>
  <c r="W30" i="10"/>
  <c r="Y29" i="10"/>
  <c r="X29" i="10"/>
  <c r="W29" i="10"/>
  <c r="Y28" i="10"/>
  <c r="X28" i="10"/>
  <c r="AA28" i="10" s="1"/>
  <c r="W28" i="10"/>
  <c r="Y27" i="10"/>
  <c r="X27" i="10"/>
  <c r="AN27" i="10" s="1"/>
  <c r="W27" i="10"/>
  <c r="AD21" i="10"/>
  <c r="BA25" i="10"/>
  <c r="AN25" i="10"/>
  <c r="AG25" i="10"/>
  <c r="AE25" i="10"/>
  <c r="BA24" i="10"/>
  <c r="BC24" i="10" s="1"/>
  <c r="BE24" i="10" s="1"/>
  <c r="AN24" i="10"/>
  <c r="AG24" i="10"/>
  <c r="AE24" i="10"/>
  <c r="AD24" i="10"/>
  <c r="BA23" i="10"/>
  <c r="BC23" i="10" s="1"/>
  <c r="BE23" i="10" s="1"/>
  <c r="AU23" i="10"/>
  <c r="AN23" i="10"/>
  <c r="AG23" i="10"/>
  <c r="AE23" i="10"/>
  <c r="AD23" i="10"/>
  <c r="BA22" i="10"/>
  <c r="BC22" i="10" s="1"/>
  <c r="BE22" i="10" s="1"/>
  <c r="AN22" i="10"/>
  <c r="AE22" i="10"/>
  <c r="BA21" i="10"/>
  <c r="BC21" i="10" s="1"/>
  <c r="BE21" i="10" s="1"/>
  <c r="AN21" i="10"/>
  <c r="AE21" i="10"/>
  <c r="BA20" i="10"/>
  <c r="AU20" i="10"/>
  <c r="BA19" i="10"/>
  <c r="BC19" i="10" s="1"/>
  <c r="BE19" i="10" s="1"/>
  <c r="BA18" i="10"/>
  <c r="AN18" i="10"/>
  <c r="AE18" i="10"/>
  <c r="AD18" i="10"/>
  <c r="AG18" i="10" s="1"/>
  <c r="BA17" i="10"/>
  <c r="BC17" i="10" s="1"/>
  <c r="BE17" i="10" s="1"/>
  <c r="AN17" i="10"/>
  <c r="AE17" i="10"/>
  <c r="AD17" i="10"/>
  <c r="BA16" i="10"/>
  <c r="BC16" i="10" s="1"/>
  <c r="BE16" i="10" s="1"/>
  <c r="AN16" i="10"/>
  <c r="AE16" i="10"/>
  <c r="AD16" i="10"/>
  <c r="AG16" i="10" s="1"/>
  <c r="BA15" i="10"/>
  <c r="AN15" i="10"/>
  <c r="AE15" i="10"/>
  <c r="AD15" i="10"/>
  <c r="AG15" i="10" s="1"/>
  <c r="BA14" i="10"/>
  <c r="BC14" i="10" s="1"/>
  <c r="BE14" i="10" s="1"/>
  <c r="AN14" i="10"/>
  <c r="AE14" i="10"/>
  <c r="AD14" i="10"/>
  <c r="AG14" i="10" s="1"/>
  <c r="BA13" i="10"/>
  <c r="BC13" i="10" s="1"/>
  <c r="BE13" i="10" s="1"/>
  <c r="AN13" i="10"/>
  <c r="AE13" i="10"/>
  <c r="AD13" i="10"/>
  <c r="BA12" i="10"/>
  <c r="BC12" i="10" s="1"/>
  <c r="BE12" i="10" s="1"/>
  <c r="AJ6" i="10"/>
  <c r="BA11" i="10"/>
  <c r="BC11" i="10" s="1"/>
  <c r="BE11" i="10" s="1"/>
  <c r="AN11" i="10"/>
  <c r="AE11" i="10"/>
  <c r="AD11" i="10"/>
  <c r="AG11" i="10" s="1"/>
  <c r="BA10" i="10"/>
  <c r="BC10" i="10" s="1"/>
  <c r="BE10" i="10" s="1"/>
  <c r="AN10" i="10"/>
  <c r="AG10" i="10"/>
  <c r="AE10" i="10"/>
  <c r="AD10" i="10"/>
  <c r="BA9" i="10"/>
  <c r="BC9" i="10" s="1"/>
  <c r="BE9" i="10" s="1"/>
  <c r="AN9" i="10"/>
  <c r="AE9" i="10"/>
  <c r="AD9" i="10"/>
  <c r="BA8" i="10"/>
  <c r="AN8" i="10"/>
  <c r="AE8" i="10"/>
  <c r="AD8" i="10"/>
  <c r="AG8" i="10" s="1"/>
  <c r="AN7" i="10"/>
  <c r="AE7" i="10"/>
  <c r="AD7" i="10"/>
  <c r="AG7" i="10" s="1"/>
  <c r="F5" i="10"/>
  <c r="F33" i="9"/>
  <c r="H33" i="9" s="1"/>
  <c r="F34" i="9"/>
  <c r="H34" i="9" s="1"/>
  <c r="F35" i="9"/>
  <c r="H35" i="9" s="1"/>
  <c r="J33" i="9"/>
  <c r="E26" i="3" s="1"/>
  <c r="J34" i="9"/>
  <c r="D26" i="3" s="1"/>
  <c r="J35" i="9"/>
  <c r="D25" i="3"/>
  <c r="E25" i="3"/>
  <c r="G25" i="3"/>
  <c r="H25" i="3"/>
  <c r="F25" i="3"/>
  <c r="E24" i="3"/>
  <c r="G24" i="3"/>
  <c r="H24" i="3"/>
  <c r="F24" i="3"/>
  <c r="J32" i="9"/>
  <c r="F26" i="3" s="1"/>
  <c r="J30" i="9"/>
  <c r="H26" i="3" s="1"/>
  <c r="F31" i="9"/>
  <c r="H31" i="9" s="1"/>
  <c r="F32" i="9"/>
  <c r="H32" i="9" s="1"/>
  <c r="F30" i="9"/>
  <c r="H30" i="9" s="1"/>
  <c r="J31" i="9"/>
  <c r="G26" i="3" s="1"/>
  <c r="C14" i="2" s="1"/>
  <c r="F9" i="9"/>
  <c r="G9" i="9" s="1"/>
  <c r="I9" i="9" s="1"/>
  <c r="J9" i="9" s="1"/>
  <c r="D18" i="9"/>
  <c r="E18" i="9"/>
  <c r="D19" i="9"/>
  <c r="E19" i="9"/>
  <c r="D20" i="9"/>
  <c r="E20" i="9"/>
  <c r="S15" i="9"/>
  <c r="S16" i="9" s="1"/>
  <c r="R15" i="9"/>
  <c r="R16" i="9" s="1"/>
  <c r="Q15" i="9"/>
  <c r="Q16" i="9" s="1"/>
  <c r="S6" i="9"/>
  <c r="F18" i="9" s="1"/>
  <c r="R6" i="9"/>
  <c r="Q6" i="9"/>
  <c r="F20" i="9" s="1"/>
  <c r="H114" i="3" l="1"/>
  <c r="AG26" i="10"/>
  <c r="AI20" i="10" s="1"/>
  <c r="F114" i="3"/>
  <c r="D114" i="3"/>
  <c r="E114" i="3"/>
  <c r="G121" i="3"/>
  <c r="G114" i="3"/>
  <c r="M114" i="3" s="1"/>
  <c r="AA27" i="10"/>
  <c r="Q19" i="9"/>
  <c r="R19" i="9"/>
  <c r="S75" i="10"/>
  <c r="U77" i="10" s="1"/>
  <c r="AO26" i="10"/>
  <c r="AQ6" i="10" s="1"/>
  <c r="AW8" i="10" s="1"/>
  <c r="Q7" i="9"/>
  <c r="L20" i="9" s="1"/>
  <c r="H179" i="3"/>
  <c r="P212" i="10"/>
  <c r="AD22" i="10"/>
  <c r="AD25" i="10"/>
  <c r="U62" i="10"/>
  <c r="V62" i="10" s="1"/>
  <c r="W62" i="10" s="1"/>
  <c r="S63" i="10"/>
  <c r="S64" i="10" s="1"/>
  <c r="S65" i="10" s="1"/>
  <c r="S66" i="10" s="1"/>
  <c r="T66" i="10" s="1"/>
  <c r="AA30" i="10"/>
  <c r="AA32" i="10"/>
  <c r="AB65" i="10"/>
  <c r="BC25" i="10"/>
  <c r="BE25" i="10" s="1"/>
  <c r="BC8" i="10"/>
  <c r="BE8" i="10" s="1"/>
  <c r="AO12" i="10"/>
  <c r="AO6" i="10" s="1"/>
  <c r="BC15" i="10"/>
  <c r="BE15" i="10" s="1"/>
  <c r="BC18" i="10"/>
  <c r="BE18" i="10" s="1"/>
  <c r="AO19" i="10"/>
  <c r="AO14" i="10" s="1"/>
  <c r="AI24" i="10"/>
  <c r="AG13" i="10"/>
  <c r="AG17" i="10"/>
  <c r="AN29" i="10"/>
  <c r="AA29" i="10"/>
  <c r="AN31" i="10"/>
  <c r="AA31" i="10"/>
  <c r="Z69" i="10"/>
  <c r="AB67" i="10"/>
  <c r="Z68" i="10"/>
  <c r="AG9" i="10"/>
  <c r="BC20" i="10"/>
  <c r="BE20" i="10" s="1"/>
  <c r="AA68" i="10"/>
  <c r="AA69" i="10"/>
  <c r="F19" i="9"/>
  <c r="S19" i="9"/>
  <c r="L18" i="9"/>
  <c r="R7" i="9"/>
  <c r="L19" i="9" s="1"/>
  <c r="M121" i="3" l="1"/>
  <c r="AB121" i="3"/>
  <c r="H23" i="3"/>
  <c r="G20" i="9"/>
  <c r="F23" i="3"/>
  <c r="R20" i="9"/>
  <c r="G23" i="3"/>
  <c r="C13" i="2" s="1"/>
  <c r="AQ16" i="10"/>
  <c r="AW15" i="10" s="1"/>
  <c r="Q20" i="9"/>
  <c r="G179" i="3"/>
  <c r="D121" i="3"/>
  <c r="D179" i="3"/>
  <c r="E121" i="3"/>
  <c r="E179" i="3"/>
  <c r="F121" i="3"/>
  <c r="F179" i="3"/>
  <c r="M179" i="3"/>
  <c r="T64" i="10"/>
  <c r="U64" i="10"/>
  <c r="V64" i="10" s="1"/>
  <c r="W64" i="10" s="1"/>
  <c r="T63" i="10"/>
  <c r="S76" i="10"/>
  <c r="S77" i="10" s="1"/>
  <c r="S78" i="10" s="1"/>
  <c r="U63" i="10"/>
  <c r="V63" i="10" s="1"/>
  <c r="W63" i="10" s="1"/>
  <c r="AA67" i="10"/>
  <c r="Z67" i="10"/>
  <c r="I20" i="9"/>
  <c r="J20" i="9" s="1"/>
  <c r="F20" i="3"/>
  <c r="AO10" i="10"/>
  <c r="AB68" i="10"/>
  <c r="S20" i="9"/>
  <c r="AO9" i="10"/>
  <c r="AQ27" i="10"/>
  <c r="AW10" i="10" s="1"/>
  <c r="AI23" i="10"/>
  <c r="AQ21" i="10"/>
  <c r="AB69" i="10"/>
  <c r="AQ19" i="10"/>
  <c r="AQ24" i="10"/>
  <c r="AO23" i="10"/>
  <c r="AQ20" i="10"/>
  <c r="AQ28" i="10"/>
  <c r="AW13" i="10" s="1"/>
  <c r="AQ12" i="10"/>
  <c r="AO28" i="10"/>
  <c r="AQ26" i="10"/>
  <c r="AQ23" i="10"/>
  <c r="AQ17" i="10"/>
  <c r="AW21" i="10" s="1"/>
  <c r="AQ11" i="10"/>
  <c r="AQ8" i="10"/>
  <c r="AQ18" i="10"/>
  <c r="AW24" i="10" s="1"/>
  <c r="AQ15" i="10"/>
  <c r="AW18" i="10" s="1"/>
  <c r="AQ7" i="10"/>
  <c r="AO21" i="10"/>
  <c r="AQ31" i="10"/>
  <c r="AW22" i="10" s="1"/>
  <c r="AI25" i="10"/>
  <c r="AI21" i="10"/>
  <c r="AI22" i="10"/>
  <c r="AQ13" i="10"/>
  <c r="AW9" i="10" s="1"/>
  <c r="AO22" i="10"/>
  <c r="AQ9" i="10"/>
  <c r="AW14" i="10" s="1"/>
  <c r="AO20" i="10"/>
  <c r="AO27" i="10"/>
  <c r="AO24" i="10"/>
  <c r="AQ25" i="10"/>
  <c r="AO18" i="10"/>
  <c r="AO15" i="10"/>
  <c r="AO13" i="10"/>
  <c r="AQ14" i="10"/>
  <c r="AW12" i="10" s="1"/>
  <c r="AO11" i="10"/>
  <c r="AO8" i="10"/>
  <c r="AQ22" i="10"/>
  <c r="AO7" i="10"/>
  <c r="AQ30" i="10"/>
  <c r="AW16" i="10" s="1"/>
  <c r="AO25" i="10"/>
  <c r="AQ29" i="10"/>
  <c r="AW19" i="10" s="1"/>
  <c r="AO16" i="10"/>
  <c r="AQ10" i="10"/>
  <c r="AQ32" i="10"/>
  <c r="AW25" i="10" s="1"/>
  <c r="AO17" i="10"/>
  <c r="U65" i="10"/>
  <c r="V65" i="10" s="1"/>
  <c r="W65" i="10" s="1"/>
  <c r="T65" i="10"/>
  <c r="G18" i="9"/>
  <c r="G19" i="9"/>
  <c r="G20" i="3" s="1"/>
  <c r="F11" i="2" l="1"/>
  <c r="F11" i="19"/>
  <c r="H20" i="3"/>
  <c r="I19" i="9"/>
  <c r="AQ34" i="10"/>
  <c r="AS34" i="10"/>
  <c r="AW23" i="10"/>
  <c r="AW20" i="10"/>
  <c r="AW11" i="10"/>
  <c r="AW17" i="10"/>
  <c r="S67" i="10"/>
  <c r="U66" i="10"/>
  <c r="V66" i="10" s="1"/>
  <c r="W66" i="10" s="1"/>
  <c r="I18" i="9" l="1"/>
  <c r="S68" i="10"/>
  <c r="R70" i="10" s="1"/>
  <c r="T67" i="10"/>
  <c r="U67" i="10"/>
  <c r="V67" i="10" s="1"/>
  <c r="W67" i="10" s="1"/>
  <c r="J18" i="9" l="1"/>
  <c r="M17" i="9" s="1"/>
  <c r="R71" i="10"/>
  <c r="T68" i="10"/>
  <c r="U68" i="10"/>
  <c r="V68" i="10" s="1"/>
  <c r="W68" i="10" s="1"/>
  <c r="AX7" i="10" s="1"/>
  <c r="AX15" i="10" l="1"/>
  <c r="AX10" i="10"/>
  <c r="AX25" i="10"/>
  <c r="AX8" i="10"/>
  <c r="BI8" i="10" s="1"/>
  <c r="AX21" i="10"/>
  <c r="AX22" i="10"/>
  <c r="AX24" i="10"/>
  <c r="AX9" i="10"/>
  <c r="AX13" i="10"/>
  <c r="AX18" i="10"/>
  <c r="AX16" i="10"/>
  <c r="AX14" i="10"/>
  <c r="AX12" i="10"/>
  <c r="AX19" i="10"/>
  <c r="AX11" i="10"/>
  <c r="AX23" i="10"/>
  <c r="AX17" i="10"/>
  <c r="AX20" i="10"/>
  <c r="G21" i="3"/>
  <c r="H21" i="3"/>
  <c r="F21" i="3"/>
  <c r="E21" i="3"/>
  <c r="D21" i="3"/>
  <c r="H22" i="3"/>
  <c r="H113" i="3" l="1"/>
  <c r="H115" i="3" s="1"/>
  <c r="C11" i="19"/>
  <c r="BQ20" i="10"/>
  <c r="BR20" i="10" s="1"/>
  <c r="BI20" i="10"/>
  <c r="BQ19" i="10"/>
  <c r="BR19" i="10" s="1"/>
  <c r="BI19" i="10"/>
  <c r="BQ18" i="10"/>
  <c r="BR18" i="10" s="1"/>
  <c r="BI18" i="10"/>
  <c r="BQ22" i="10"/>
  <c r="BR22" i="10" s="1"/>
  <c r="BI22" i="10"/>
  <c r="BQ10" i="10"/>
  <c r="BR10" i="10" s="1"/>
  <c r="BI10" i="10"/>
  <c r="BI17" i="10"/>
  <c r="BQ17" i="10"/>
  <c r="BR17" i="10" s="1"/>
  <c r="BI12" i="10"/>
  <c r="BQ12" i="10"/>
  <c r="BR12" i="10" s="1"/>
  <c r="BQ13" i="10"/>
  <c r="BR13" i="10" s="1"/>
  <c r="BI13" i="10"/>
  <c r="BQ21" i="10"/>
  <c r="BR21" i="10" s="1"/>
  <c r="BI21" i="10"/>
  <c r="BQ15" i="10"/>
  <c r="BR15" i="10" s="1"/>
  <c r="BI15" i="10"/>
  <c r="BJ3" i="10" s="1"/>
  <c r="BQ23" i="10"/>
  <c r="BR23" i="10" s="1"/>
  <c r="BI23" i="10"/>
  <c r="BQ14" i="10"/>
  <c r="BR14" i="10" s="1"/>
  <c r="BI14" i="10"/>
  <c r="BQ9" i="10"/>
  <c r="BR9" i="10" s="1"/>
  <c r="BI9" i="10"/>
  <c r="BQ8" i="10"/>
  <c r="BI11" i="10"/>
  <c r="BQ11" i="10"/>
  <c r="BR11" i="10" s="1"/>
  <c r="BQ16" i="10"/>
  <c r="BR16" i="10" s="1"/>
  <c r="BI16" i="10"/>
  <c r="BQ24" i="10"/>
  <c r="BR24" i="10" s="1"/>
  <c r="BI24" i="10"/>
  <c r="BQ25" i="10"/>
  <c r="BR25" i="10" s="1"/>
  <c r="BI25" i="10"/>
  <c r="E11" i="19" l="1"/>
  <c r="C37" i="19"/>
  <c r="H176" i="3"/>
  <c r="H140" i="3"/>
  <c r="BV11" i="10"/>
  <c r="BK3" i="10"/>
  <c r="BL3" i="10"/>
  <c r="BI3" i="10"/>
  <c r="BI27" i="10"/>
  <c r="BK8" i="10"/>
  <c r="BI4" i="10"/>
  <c r="BL8" i="10"/>
  <c r="BJ8" i="10"/>
  <c r="BQ27" i="10"/>
  <c r="BR8" i="10"/>
  <c r="BL17" i="10"/>
  <c r="BK17" i="10"/>
  <c r="BJ17" i="10"/>
  <c r="BL16" i="10"/>
  <c r="BK16" i="10"/>
  <c r="BJ16" i="10"/>
  <c r="BK15" i="10"/>
  <c r="BJ15" i="10"/>
  <c r="BL15" i="10"/>
  <c r="BL24" i="10"/>
  <c r="BK24" i="10"/>
  <c r="BJ24" i="10"/>
  <c r="BJ9" i="10"/>
  <c r="BL9" i="10"/>
  <c r="BK9" i="10"/>
  <c r="BJ4" i="10"/>
  <c r="BJ23" i="10"/>
  <c r="BL23" i="10"/>
  <c r="BK23" i="10"/>
  <c r="BJ21" i="10"/>
  <c r="BL21" i="10"/>
  <c r="BK21" i="10"/>
  <c r="BL10" i="10"/>
  <c r="BK10" i="10"/>
  <c r="BJ10" i="10"/>
  <c r="BK18" i="10"/>
  <c r="BJ18" i="10"/>
  <c r="BL18" i="10"/>
  <c r="BK20" i="10"/>
  <c r="BJ20" i="10"/>
  <c r="BL20" i="10"/>
  <c r="BJ25" i="10"/>
  <c r="BK25" i="10"/>
  <c r="BL25" i="10"/>
  <c r="BL14" i="10"/>
  <c r="BK14" i="10"/>
  <c r="BJ14" i="10"/>
  <c r="BJ13" i="10"/>
  <c r="BK13" i="10"/>
  <c r="BL13" i="10"/>
  <c r="BL22" i="10"/>
  <c r="BJ22" i="10"/>
  <c r="BK22" i="10"/>
  <c r="BJ19" i="10"/>
  <c r="BL19" i="10"/>
  <c r="BK19" i="10"/>
  <c r="BK11" i="10"/>
  <c r="BJ11" i="10"/>
  <c r="BL11" i="10"/>
  <c r="BL12" i="10"/>
  <c r="BK12" i="10"/>
  <c r="BJ12" i="10"/>
  <c r="BV12" i="10"/>
  <c r="E37" i="19" l="1"/>
  <c r="BN12" i="10"/>
  <c r="BN15" i="10"/>
  <c r="BN11" i="10"/>
  <c r="BN9" i="10"/>
  <c r="BO33" i="10" s="1"/>
  <c r="BN19" i="10"/>
  <c r="BN10" i="10"/>
  <c r="BN23" i="10"/>
  <c r="BN22" i="10"/>
  <c r="BN18" i="10"/>
  <c r="BL27" i="10"/>
  <c r="BN25" i="10"/>
  <c r="BN21" i="10"/>
  <c r="BO35" i="10" s="1"/>
  <c r="BN17" i="10"/>
  <c r="BR27" i="10"/>
  <c r="BV10" i="10"/>
  <c r="BN16" i="10"/>
  <c r="BK27" i="10"/>
  <c r="BN13" i="10"/>
  <c r="BN14" i="10"/>
  <c r="BN20" i="10"/>
  <c r="BN24" i="10"/>
  <c r="BJ27" i="10"/>
  <c r="BN8" i="10"/>
  <c r="BU14" i="10" l="1"/>
  <c r="BU15" i="10" s="1"/>
  <c r="BO32" i="10"/>
  <c r="BN27" i="10"/>
  <c r="BO11" i="10" s="1"/>
  <c r="BO37" i="10"/>
  <c r="BO24" i="10"/>
  <c r="BO16" i="10"/>
  <c r="BO15" i="10"/>
  <c r="BO18" i="10"/>
  <c r="BO36" i="10"/>
  <c r="BO34" i="10"/>
  <c r="BO19" i="10"/>
  <c r="BO22" i="10"/>
  <c r="BO14" i="10" l="1"/>
  <c r="BO25" i="10"/>
  <c r="BO8" i="10"/>
  <c r="BO20" i="10"/>
  <c r="BO23" i="10"/>
  <c r="BO17" i="10"/>
  <c r="BO9" i="10"/>
  <c r="BO13" i="10"/>
  <c r="BO21" i="10"/>
  <c r="BO10" i="10"/>
  <c r="BO12" i="10"/>
  <c r="J19" i="9"/>
  <c r="G22" i="3" s="1"/>
  <c r="G113" i="3" l="1"/>
  <c r="M113" i="3" s="1"/>
  <c r="C12" i="2"/>
  <c r="BO28" i="10"/>
  <c r="F22" i="3"/>
  <c r="F113" i="3" s="1"/>
  <c r="C11" i="2" l="1"/>
  <c r="G115" i="3"/>
  <c r="M115" i="3" s="1"/>
  <c r="M176" i="3" s="1"/>
  <c r="G176" i="3"/>
  <c r="F115" i="3"/>
  <c r="G140" i="3"/>
  <c r="M140" i="3" s="1"/>
  <c r="F12" i="9"/>
  <c r="G12" i="9" s="1"/>
  <c r="D20" i="3" s="1"/>
  <c r="F11" i="9"/>
  <c r="G11" i="9" s="1"/>
  <c r="E20" i="3" s="1"/>
  <c r="F10" i="9"/>
  <c r="G10" i="9" s="1"/>
  <c r="I10" i="9" s="1"/>
  <c r="J10" i="9" s="1"/>
  <c r="G144" i="3"/>
  <c r="M144" i="3" s="1"/>
  <c r="E11" i="2" l="1"/>
  <c r="F176" i="3"/>
  <c r="G171" i="3"/>
  <c r="M171" i="3" s="1"/>
  <c r="E38" i="19" s="1"/>
  <c r="E147" i="3"/>
  <c r="E164" i="3"/>
  <c r="E160" i="3"/>
  <c r="E152" i="3"/>
  <c r="E149" i="3"/>
  <c r="E148" i="3"/>
  <c r="E151" i="3"/>
  <c r="E159" i="3"/>
  <c r="E158" i="3"/>
  <c r="E146" i="3"/>
  <c r="E150" i="3"/>
  <c r="G147" i="3"/>
  <c r="G164" i="3"/>
  <c r="M164" i="3" s="1"/>
  <c r="G160" i="3"/>
  <c r="M160" i="3" s="1"/>
  <c r="G152" i="3"/>
  <c r="M152" i="3" s="1"/>
  <c r="G149" i="3"/>
  <c r="M149" i="3" s="1"/>
  <c r="G148" i="3"/>
  <c r="M148" i="3" s="1"/>
  <c r="G159" i="3"/>
  <c r="M159" i="3" s="1"/>
  <c r="G158" i="3"/>
  <c r="M158" i="3" s="1"/>
  <c r="G151" i="3"/>
  <c r="G146" i="3"/>
  <c r="M146" i="3" s="1"/>
  <c r="G150" i="3"/>
  <c r="M150" i="3" s="1"/>
  <c r="G145" i="3"/>
  <c r="M145" i="3" s="1"/>
  <c r="C146" i="3"/>
  <c r="C150" i="3"/>
  <c r="C158" i="3"/>
  <c r="C162" i="3"/>
  <c r="C151" i="3"/>
  <c r="C145" i="3"/>
  <c r="C149" i="3"/>
  <c r="C161" i="3"/>
  <c r="C167" i="3"/>
  <c r="C144" i="3"/>
  <c r="C159" i="3"/>
  <c r="C171" i="3"/>
  <c r="C168" i="3"/>
  <c r="C148" i="3"/>
  <c r="C152" i="3"/>
  <c r="C160" i="3"/>
  <c r="C166" i="3"/>
  <c r="C169" i="3"/>
  <c r="C172" i="3"/>
  <c r="C155" i="3"/>
  <c r="C156" i="3"/>
  <c r="D147" i="3"/>
  <c r="D164" i="3"/>
  <c r="D160" i="3"/>
  <c r="D152" i="3"/>
  <c r="D149" i="3"/>
  <c r="D148" i="3"/>
  <c r="D159" i="3"/>
  <c r="D158" i="3"/>
  <c r="D151" i="3"/>
  <c r="D146" i="3"/>
  <c r="D150" i="3"/>
  <c r="F147" i="3"/>
  <c r="F164" i="3"/>
  <c r="F160" i="3"/>
  <c r="F152" i="3"/>
  <c r="F149" i="3"/>
  <c r="F148" i="3"/>
  <c r="F159" i="3"/>
  <c r="F158" i="3"/>
  <c r="F151" i="3"/>
  <c r="F146" i="3"/>
  <c r="F150" i="3"/>
  <c r="F145" i="3"/>
  <c r="H147" i="3"/>
  <c r="H164" i="3"/>
  <c r="H160" i="3"/>
  <c r="H152" i="3"/>
  <c r="H149" i="3"/>
  <c r="H148" i="3"/>
  <c r="H151" i="3"/>
  <c r="H159" i="3"/>
  <c r="H158" i="3"/>
  <c r="H146" i="3"/>
  <c r="H150" i="3"/>
  <c r="H145" i="3"/>
  <c r="H144" i="3"/>
  <c r="H171" i="3"/>
  <c r="F144" i="3"/>
  <c r="F140" i="3"/>
  <c r="H8" i="3"/>
  <c r="H13" i="17"/>
  <c r="H9" i="3"/>
  <c r="C9" i="3"/>
  <c r="C13" i="17"/>
  <c r="C35" i="17" s="1"/>
  <c r="C36" i="17" s="1"/>
  <c r="D9" i="3"/>
  <c r="D13" i="17"/>
  <c r="E13" i="17"/>
  <c r="F14" i="17"/>
  <c r="F13" i="17"/>
  <c r="F16" i="17" s="1"/>
  <c r="G14" i="17"/>
  <c r="G13" i="17"/>
  <c r="C6" i="3"/>
  <c r="G9" i="3"/>
  <c r="F9" i="3"/>
  <c r="F86" i="3" s="1"/>
  <c r="E9" i="3"/>
  <c r="E86" i="3" s="1"/>
  <c r="I11" i="9"/>
  <c r="J11" i="9" s="1"/>
  <c r="E22" i="3" s="1"/>
  <c r="E113" i="3" s="1"/>
  <c r="I12" i="9"/>
  <c r="J12" i="9" s="1"/>
  <c r="D22" i="3" s="1"/>
  <c r="D113" i="3" s="1"/>
  <c r="D115" i="3" s="1"/>
  <c r="M151" i="3" l="1"/>
  <c r="AB151" i="3"/>
  <c r="M147" i="3"/>
  <c r="AB147" i="3"/>
  <c r="E37" i="2"/>
  <c r="E40" i="2"/>
  <c r="E41" i="2" s="1"/>
  <c r="E42" i="2" s="1"/>
  <c r="E38" i="2"/>
  <c r="C90" i="3"/>
  <c r="C86" i="3"/>
  <c r="H78" i="3"/>
  <c r="H86" i="3"/>
  <c r="AC25" i="16"/>
  <c r="AC26" i="16" s="1"/>
  <c r="AJ24" i="16"/>
  <c r="AJ25" i="16"/>
  <c r="AB25" i="16"/>
  <c r="AB26" i="16" s="1"/>
  <c r="AK24" i="16"/>
  <c r="AK25" i="16"/>
  <c r="AG19" i="16"/>
  <c r="AG24" i="16"/>
  <c r="AH24" i="16"/>
  <c r="AH25" i="16"/>
  <c r="AI24" i="16"/>
  <c r="AI25" i="16"/>
  <c r="AG25" i="16"/>
  <c r="D46" i="3"/>
  <c r="D123" i="3" s="1"/>
  <c r="D155" i="3" s="1"/>
  <c r="H110" i="3"/>
  <c r="H85" i="3"/>
  <c r="H80" i="3"/>
  <c r="G85" i="3"/>
  <c r="G86" i="3"/>
  <c r="K86" i="3" s="1"/>
  <c r="E46" i="3"/>
  <c r="E123" i="3" s="1"/>
  <c r="E155" i="3" s="1"/>
  <c r="D176" i="3"/>
  <c r="D140" i="3"/>
  <c r="G80" i="3"/>
  <c r="G110" i="3"/>
  <c r="C36" i="2" s="1"/>
  <c r="G94" i="3"/>
  <c r="G78" i="3"/>
  <c r="F171" i="3"/>
  <c r="AL20" i="16"/>
  <c r="F8" i="3"/>
  <c r="E115" i="3"/>
  <c r="E145" i="3"/>
  <c r="G90" i="3"/>
  <c r="F110" i="3"/>
  <c r="F134" i="3" s="1"/>
  <c r="F188" i="3" s="1"/>
  <c r="F90" i="3"/>
  <c r="F94" i="3"/>
  <c r="E110" i="3"/>
  <c r="E134" i="3" s="1"/>
  <c r="E188" i="3" s="1"/>
  <c r="E94" i="3"/>
  <c r="E90" i="3"/>
  <c r="D110" i="3"/>
  <c r="D134" i="3" s="1"/>
  <c r="D188" i="3" s="1"/>
  <c r="D94" i="3"/>
  <c r="D90" i="3"/>
  <c r="C110" i="3"/>
  <c r="C94" i="3"/>
  <c r="C78" i="3"/>
  <c r="H92" i="3"/>
  <c r="H90" i="3"/>
  <c r="H94" i="3"/>
  <c r="D145" i="3"/>
  <c r="G8" i="3"/>
  <c r="C92" i="3"/>
  <c r="C80" i="3"/>
  <c r="C85" i="3"/>
  <c r="G92" i="3"/>
  <c r="E85" i="3"/>
  <c r="E80" i="3"/>
  <c r="E92" i="3"/>
  <c r="E78" i="3"/>
  <c r="D92" i="3"/>
  <c r="D85" i="3"/>
  <c r="D80" i="3"/>
  <c r="D86" i="3"/>
  <c r="D78" i="3"/>
  <c r="F80" i="3"/>
  <c r="F85" i="3"/>
  <c r="F92" i="3"/>
  <c r="F78" i="3"/>
  <c r="K78" i="3" s="1"/>
  <c r="K73" i="3" s="1"/>
  <c r="G21" i="17"/>
  <c r="G35" i="17"/>
  <c r="E21" i="17"/>
  <c r="E35" i="17"/>
  <c r="D21" i="17"/>
  <c r="D35" i="17"/>
  <c r="H21" i="17"/>
  <c r="H24" i="17" s="1"/>
  <c r="H35" i="17"/>
  <c r="H36" i="17" s="1"/>
  <c r="F21" i="17"/>
  <c r="F35" i="17"/>
  <c r="C21" i="17"/>
  <c r="C54" i="3"/>
  <c r="AJ27" i="16"/>
  <c r="AJ26" i="16"/>
  <c r="D51" i="3"/>
  <c r="AJ19" i="16"/>
  <c r="C18" i="17"/>
  <c r="C17" i="17"/>
  <c r="C16" i="17"/>
  <c r="E17" i="17"/>
  <c r="E16" i="17"/>
  <c r="E18" i="17"/>
  <c r="F18" i="17"/>
  <c r="F17" i="17"/>
  <c r="AK19" i="16"/>
  <c r="AK26" i="16"/>
  <c r="E51" i="3"/>
  <c r="C8" i="3"/>
  <c r="C14" i="17"/>
  <c r="E8" i="3"/>
  <c r="E14" i="17"/>
  <c r="D8" i="3"/>
  <c r="D14" i="17"/>
  <c r="G16" i="17"/>
  <c r="G18" i="17"/>
  <c r="G17" i="17"/>
  <c r="D18" i="17"/>
  <c r="D16" i="17"/>
  <c r="D17" i="17"/>
  <c r="H17" i="17"/>
  <c r="H16" i="17"/>
  <c r="H18" i="17"/>
  <c r="AI26" i="16"/>
  <c r="AH19" i="16"/>
  <c r="AH26" i="16"/>
  <c r="AI19" i="16"/>
  <c r="AG26" i="16"/>
  <c r="AL30" i="16"/>
  <c r="H14" i="17"/>
  <c r="L40" i="4"/>
  <c r="M32" i="4"/>
  <c r="L32" i="4"/>
  <c r="L17" i="4"/>
  <c r="L16" i="4"/>
  <c r="P13" i="4"/>
  <c r="F36" i="17" l="1"/>
  <c r="F54" i="3" s="1"/>
  <c r="D36" i="17"/>
  <c r="D54" i="3" s="1"/>
  <c r="E36" i="17"/>
  <c r="E54" i="3" s="1"/>
  <c r="G36" i="17"/>
  <c r="G54" i="3" s="1"/>
  <c r="K85" i="3"/>
  <c r="G134" i="3"/>
  <c r="F33" i="2"/>
  <c r="K87" i="3"/>
  <c r="K88" i="3" s="1"/>
  <c r="K84" i="3" s="1"/>
  <c r="K95" i="3" s="1"/>
  <c r="K130" i="3" s="1"/>
  <c r="F51" i="3"/>
  <c r="AL19" i="16"/>
  <c r="AL23" i="16"/>
  <c r="AM19" i="16"/>
  <c r="AM24" i="16"/>
  <c r="AM25" i="16"/>
  <c r="Z25" i="16"/>
  <c r="AL29" i="16"/>
  <c r="AA25" i="16"/>
  <c r="AL24" i="16"/>
  <c r="AL25" i="16"/>
  <c r="J73" i="3"/>
  <c r="AN31" i="16"/>
  <c r="AN24" i="16"/>
  <c r="Y25" i="16"/>
  <c r="Y26" i="16" s="1"/>
  <c r="AN25" i="16"/>
  <c r="AN32" i="16"/>
  <c r="E73" i="3"/>
  <c r="AS15" i="16"/>
  <c r="AS16" i="16" s="1"/>
  <c r="AS18" i="16"/>
  <c r="AS19" i="16" s="1"/>
  <c r="H73" i="3"/>
  <c r="G87" i="3"/>
  <c r="G88" i="3" s="1"/>
  <c r="G84" i="3" s="1"/>
  <c r="AL26" i="16"/>
  <c r="AL21" i="16"/>
  <c r="F46" i="3"/>
  <c r="F123" i="3" s="1"/>
  <c r="F155" i="3" s="1"/>
  <c r="F43" i="3"/>
  <c r="F122" i="3" s="1"/>
  <c r="F154" i="3" s="1"/>
  <c r="AL27" i="16"/>
  <c r="AL22" i="16"/>
  <c r="AL28" i="16"/>
  <c r="E52" i="3"/>
  <c r="E176" i="3"/>
  <c r="H46" i="3"/>
  <c r="H54" i="3"/>
  <c r="G46" i="3"/>
  <c r="D52" i="3"/>
  <c r="E166" i="3"/>
  <c r="F166" i="3"/>
  <c r="G51" i="3"/>
  <c r="AM26" i="16"/>
  <c r="D166" i="3"/>
  <c r="G166" i="3"/>
  <c r="M166" i="3" s="1"/>
  <c r="D73" i="3"/>
  <c r="H87" i="3"/>
  <c r="H88" i="3" s="1"/>
  <c r="H84" i="3" s="1"/>
  <c r="C87" i="3"/>
  <c r="E87" i="3"/>
  <c r="E88" i="3" s="1"/>
  <c r="E84" i="3" s="1"/>
  <c r="F73" i="3"/>
  <c r="D87" i="3"/>
  <c r="D88" i="3" s="1"/>
  <c r="D84" i="3" s="1"/>
  <c r="H134" i="3"/>
  <c r="H188" i="3" s="1"/>
  <c r="C73" i="3"/>
  <c r="D144" i="3"/>
  <c r="E144" i="3"/>
  <c r="E140" i="3"/>
  <c r="F87" i="3"/>
  <c r="F88" i="3" s="1"/>
  <c r="F84" i="3" s="1"/>
  <c r="D24" i="17"/>
  <c r="D25" i="17" s="1"/>
  <c r="D26" i="17" s="1"/>
  <c r="C24" i="17"/>
  <c r="E24" i="17"/>
  <c r="E25" i="17" s="1"/>
  <c r="E26" i="17" s="1"/>
  <c r="F24" i="17"/>
  <c r="F25" i="17" s="1"/>
  <c r="F26" i="17" s="1"/>
  <c r="G24" i="17"/>
  <c r="AN27" i="16"/>
  <c r="AN26" i="16"/>
  <c r="H51" i="3"/>
  <c r="AN28" i="16"/>
  <c r="AN19" i="16"/>
  <c r="AN20" i="16"/>
  <c r="AN29" i="16"/>
  <c r="AN22" i="16"/>
  <c r="AN30" i="16"/>
  <c r="AN23" i="16"/>
  <c r="AN21" i="16"/>
  <c r="H43" i="3"/>
  <c r="F13" i="3"/>
  <c r="F52" i="3" l="1"/>
  <c r="F124" i="3" s="1"/>
  <c r="F172" i="3" s="1"/>
  <c r="AA26" i="16"/>
  <c r="G52" i="3"/>
  <c r="C28" i="2" s="1"/>
  <c r="Z26" i="16"/>
  <c r="D53" i="3"/>
  <c r="D56" i="3" s="1"/>
  <c r="D125" i="3" s="1"/>
  <c r="D157" i="3" s="1"/>
  <c r="F53" i="3"/>
  <c r="F56" i="3" s="1"/>
  <c r="F57" i="3" s="1"/>
  <c r="F126" i="3" s="1"/>
  <c r="F136" i="3" s="1"/>
  <c r="R136" i="3" s="1"/>
  <c r="E53" i="3"/>
  <c r="E56" i="3" s="1"/>
  <c r="E125" i="3" s="1"/>
  <c r="E157" i="3" s="1"/>
  <c r="C88" i="3"/>
  <c r="C84" i="3" s="1"/>
  <c r="C95" i="3" s="1"/>
  <c r="K186" i="3"/>
  <c r="K162" i="3"/>
  <c r="K135" i="3"/>
  <c r="K161" i="3" s="1"/>
  <c r="K139" i="3"/>
  <c r="K170" i="3" s="1"/>
  <c r="K137" i="3"/>
  <c r="G188" i="3"/>
  <c r="M134" i="3"/>
  <c r="M188" i="3" s="1"/>
  <c r="G123" i="3"/>
  <c r="G25" i="17"/>
  <c r="G26" i="17" s="1"/>
  <c r="J87" i="3"/>
  <c r="J88" i="3" s="1"/>
  <c r="J84" i="3" s="1"/>
  <c r="J95" i="3" s="1"/>
  <c r="X30" i="16"/>
  <c r="H52" i="3"/>
  <c r="H124" i="3" s="1"/>
  <c r="I87" i="3"/>
  <c r="I88" i="3" s="1"/>
  <c r="E124" i="3"/>
  <c r="E172" i="3" s="1"/>
  <c r="C25" i="17"/>
  <c r="C26" i="17" s="1"/>
  <c r="E95" i="3"/>
  <c r="E130" i="3" s="1"/>
  <c r="E186" i="3" s="1"/>
  <c r="F156" i="3"/>
  <c r="D124" i="3"/>
  <c r="H123" i="3"/>
  <c r="H155" i="3" s="1"/>
  <c r="D95" i="3"/>
  <c r="D130" i="3" s="1"/>
  <c r="H25" i="17"/>
  <c r="H26" i="17" s="1"/>
  <c r="E171" i="3"/>
  <c r="D171" i="3"/>
  <c r="F95" i="3"/>
  <c r="F130" i="3" s="1"/>
  <c r="F186" i="3" s="1"/>
  <c r="G73" i="3"/>
  <c r="G95" i="3" s="1"/>
  <c r="C34" i="2" s="1"/>
  <c r="C33" i="2" s="1"/>
  <c r="H95" i="3"/>
  <c r="H166" i="3"/>
  <c r="H122" i="3"/>
  <c r="F21" i="2" l="1"/>
  <c r="F40" i="2" s="1"/>
  <c r="F41" i="2" s="1"/>
  <c r="F42" i="2" s="1"/>
  <c r="F125" i="3"/>
  <c r="F157" i="3" s="1"/>
  <c r="G124" i="3"/>
  <c r="G156" i="3" s="1"/>
  <c r="M156" i="3" s="1"/>
  <c r="H53" i="3"/>
  <c r="H56" i="3" s="1"/>
  <c r="C53" i="3"/>
  <c r="C56" i="3" s="1"/>
  <c r="C125" i="3" s="1"/>
  <c r="C157" i="3" s="1"/>
  <c r="G53" i="3"/>
  <c r="G56" i="3" s="1"/>
  <c r="M124" i="3"/>
  <c r="K168" i="3"/>
  <c r="W142" i="3" s="1"/>
  <c r="K138" i="3"/>
  <c r="K190" i="3"/>
  <c r="G155" i="3"/>
  <c r="M155" i="3" s="1"/>
  <c r="M123" i="3"/>
  <c r="G130" i="3"/>
  <c r="M125" i="3"/>
  <c r="F37" i="19"/>
  <c r="H156" i="3"/>
  <c r="E156" i="3"/>
  <c r="J130" i="3"/>
  <c r="D33" i="19"/>
  <c r="F137" i="3"/>
  <c r="R141" i="3" s="1"/>
  <c r="D186" i="3"/>
  <c r="D135" i="3"/>
  <c r="D162" i="3"/>
  <c r="D156" i="3"/>
  <c r="D172" i="3"/>
  <c r="F183" i="3"/>
  <c r="E162" i="3"/>
  <c r="F162" i="3"/>
  <c r="G162" i="3"/>
  <c r="M162" i="3" s="1"/>
  <c r="H154" i="3"/>
  <c r="F153" i="3"/>
  <c r="H172" i="3"/>
  <c r="H130" i="3"/>
  <c r="H186" i="3" s="1"/>
  <c r="C29" i="2" l="1"/>
  <c r="C40" i="2" s="1"/>
  <c r="C41" i="2" s="1"/>
  <c r="C42" i="2" s="1"/>
  <c r="G125" i="3"/>
  <c r="G157" i="3" s="1"/>
  <c r="M157" i="3" s="1"/>
  <c r="H125" i="3"/>
  <c r="H157" i="3" s="1"/>
  <c r="H57" i="3"/>
  <c r="H126" i="3" s="1"/>
  <c r="H136" i="3" s="1"/>
  <c r="T136" i="3" s="1"/>
  <c r="G186" i="3"/>
  <c r="M130" i="3"/>
  <c r="M141" i="3"/>
  <c r="G172" i="3"/>
  <c r="M172" i="3" s="1"/>
  <c r="K191" i="3"/>
  <c r="K169" i="3"/>
  <c r="J126" i="3"/>
  <c r="D21" i="19"/>
  <c r="D37" i="19" s="1"/>
  <c r="J124" i="3"/>
  <c r="J135" i="3"/>
  <c r="J162" i="3"/>
  <c r="J186" i="3"/>
  <c r="R114" i="3"/>
  <c r="F138" i="3"/>
  <c r="I84" i="3"/>
  <c r="I95" i="3" s="1"/>
  <c r="F189" i="3"/>
  <c r="H162" i="3"/>
  <c r="F167" i="3"/>
  <c r="R137" i="3" s="1"/>
  <c r="F65" i="4"/>
  <c r="E65" i="4"/>
  <c r="D65" i="4"/>
  <c r="C65" i="4"/>
  <c r="G65" i="4"/>
  <c r="C62" i="4"/>
  <c r="D62" i="4"/>
  <c r="E62" i="4"/>
  <c r="F62" i="4"/>
  <c r="G62" i="4"/>
  <c r="M13" i="4"/>
  <c r="N13" i="4"/>
  <c r="O13" i="4"/>
  <c r="L13" i="4"/>
  <c r="D61" i="4"/>
  <c r="E61" i="4"/>
  <c r="F61" i="4"/>
  <c r="G61" i="4"/>
  <c r="C61" i="4"/>
  <c r="A61" i="4"/>
  <c r="D60" i="4"/>
  <c r="E60" i="4"/>
  <c r="F60" i="4"/>
  <c r="G60" i="4"/>
  <c r="C60" i="4"/>
  <c r="A60" i="4"/>
  <c r="D59" i="4"/>
  <c r="E59" i="4"/>
  <c r="F59" i="4"/>
  <c r="G59" i="4"/>
  <c r="C59" i="4"/>
  <c r="A59" i="4"/>
  <c r="D57" i="4"/>
  <c r="M24" i="4" s="1"/>
  <c r="E57" i="4"/>
  <c r="N24" i="4" s="1"/>
  <c r="F57" i="4"/>
  <c r="O24" i="4" s="1"/>
  <c r="G57" i="4"/>
  <c r="P24" i="4" s="1"/>
  <c r="C57" i="4"/>
  <c r="L24" i="4" s="1"/>
  <c r="A57" i="4"/>
  <c r="D55" i="4"/>
  <c r="E55" i="4"/>
  <c r="F55" i="4"/>
  <c r="G55" i="4"/>
  <c r="C55" i="4"/>
  <c r="A55" i="4"/>
  <c r="D54" i="4"/>
  <c r="E54" i="4"/>
  <c r="F54" i="4"/>
  <c r="G54" i="4"/>
  <c r="C54" i="4"/>
  <c r="A54" i="4"/>
  <c r="D53" i="4"/>
  <c r="E53" i="4"/>
  <c r="F53" i="4"/>
  <c r="G53" i="4"/>
  <c r="C53" i="4"/>
  <c r="A53" i="4"/>
  <c r="D52" i="4"/>
  <c r="E52" i="4"/>
  <c r="F52" i="4"/>
  <c r="G52" i="4"/>
  <c r="C52" i="4"/>
  <c r="A52" i="4"/>
  <c r="D22" i="4"/>
  <c r="E22" i="4"/>
  <c r="F22" i="4"/>
  <c r="G22" i="4"/>
  <c r="C22" i="4"/>
  <c r="D44" i="4"/>
  <c r="F44" i="4"/>
  <c r="G44" i="4"/>
  <c r="C44" i="4"/>
  <c r="E44" i="4"/>
  <c r="D37" i="4"/>
  <c r="E37" i="4"/>
  <c r="F37" i="4"/>
  <c r="G37" i="4"/>
  <c r="C37" i="4"/>
  <c r="D11" i="4"/>
  <c r="E11" i="4"/>
  <c r="F11" i="4"/>
  <c r="G11" i="4"/>
  <c r="C11" i="4"/>
  <c r="D28" i="4"/>
  <c r="E28" i="4"/>
  <c r="F28" i="4"/>
  <c r="G28" i="4"/>
  <c r="C28" i="4"/>
  <c r="G4" i="4"/>
  <c r="F4" i="4"/>
  <c r="E4" i="4"/>
  <c r="D4" i="4"/>
  <c r="C4" i="4"/>
  <c r="D13" i="3"/>
  <c r="E13" i="3"/>
  <c r="C13" i="3"/>
  <c r="AB141" i="3" l="1"/>
  <c r="AB124" i="3"/>
  <c r="J183" i="3"/>
  <c r="AB126" i="3"/>
  <c r="AB183" i="3" s="1"/>
  <c r="D21" i="2"/>
  <c r="D40" i="2" s="1"/>
  <c r="C21" i="2"/>
  <c r="H183" i="3"/>
  <c r="J156" i="3"/>
  <c r="AB156" i="3" s="1"/>
  <c r="H153" i="3"/>
  <c r="J153" i="3"/>
  <c r="AB153" i="3" s="1"/>
  <c r="J136" i="3"/>
  <c r="J139" i="3"/>
  <c r="J161" i="3"/>
  <c r="H137" i="3"/>
  <c r="T114" i="3"/>
  <c r="J172" i="3"/>
  <c r="AB172" i="3" s="1"/>
  <c r="I130" i="3"/>
  <c r="I139" i="3" s="1"/>
  <c r="U119" i="3" s="1"/>
  <c r="M186" i="3"/>
  <c r="H189" i="3"/>
  <c r="G51" i="4"/>
  <c r="H167" i="3"/>
  <c r="T137" i="3" s="1"/>
  <c r="F51" i="4"/>
  <c r="C51" i="4"/>
  <c r="E51" i="4"/>
  <c r="D51" i="4"/>
  <c r="H138" i="3" l="1"/>
  <c r="T141" i="3"/>
  <c r="V119" i="3"/>
  <c r="V136" i="3"/>
  <c r="J189" i="3"/>
  <c r="C37" i="2"/>
  <c r="J167" i="3"/>
  <c r="F37" i="2"/>
  <c r="L142" i="3"/>
  <c r="J170" i="3"/>
  <c r="I162" i="3"/>
  <c r="J137" i="3"/>
  <c r="V141" i="3" s="1"/>
  <c r="I137" i="3"/>
  <c r="I135" i="3"/>
  <c r="I161" i="3" s="1"/>
  <c r="I186" i="3"/>
  <c r="U114" i="3"/>
  <c r="V114" i="3"/>
  <c r="F38" i="2"/>
  <c r="F38" i="19"/>
  <c r="V120" i="3"/>
  <c r="D33" i="2"/>
  <c r="D41" i="2" s="1"/>
  <c r="D42" i="2" s="1"/>
  <c r="I170" i="3"/>
  <c r="U120" i="3" s="1"/>
  <c r="I138" i="3" l="1"/>
  <c r="U141" i="3"/>
  <c r="V137" i="3"/>
  <c r="J190" i="3"/>
  <c r="J138" i="3"/>
  <c r="J168" i="3"/>
  <c r="I190" i="3"/>
  <c r="I168" i="3"/>
  <c r="U142" i="3" s="1"/>
  <c r="U115" i="3"/>
  <c r="V115" i="3"/>
  <c r="I169" i="3"/>
  <c r="I191" i="3"/>
  <c r="KI19" i="15"/>
  <c r="KI23" i="15"/>
  <c r="KI24" i="15" s="1"/>
  <c r="V142" i="3" l="1"/>
  <c r="J191" i="3"/>
  <c r="J169" i="3"/>
  <c r="KD26" i="15"/>
  <c r="KI26" i="15"/>
  <c r="AJ20" i="16"/>
  <c r="AJ12" i="16"/>
  <c r="AJ29" i="16" s="1"/>
  <c r="AJ11" i="16"/>
  <c r="AG10" i="16"/>
  <c r="AG12" i="16" l="1"/>
  <c r="AG29" i="16" s="1"/>
  <c r="AG27" i="16"/>
  <c r="AJ22" i="16"/>
  <c r="AG11" i="16"/>
  <c r="AJ13" i="16"/>
  <c r="AJ28" i="16"/>
  <c r="AJ21" i="16"/>
  <c r="AG22" i="16"/>
  <c r="AG20" i="16"/>
  <c r="AM10" i="16"/>
  <c r="AI10" i="16"/>
  <c r="AK10" i="16"/>
  <c r="AH10" i="16"/>
  <c r="AH27" i="16" s="1"/>
  <c r="AG13" i="16" l="1"/>
  <c r="AG30" i="16" s="1"/>
  <c r="AJ23" i="16"/>
  <c r="AJ30" i="16"/>
  <c r="AK20" i="16"/>
  <c r="AK27" i="16"/>
  <c r="AI11" i="16"/>
  <c r="AI28" i="16" s="1"/>
  <c r="AI27" i="16"/>
  <c r="AM20" i="16"/>
  <c r="AM27" i="16"/>
  <c r="AG21" i="16"/>
  <c r="AG28" i="16"/>
  <c r="AM12" i="16"/>
  <c r="AM11" i="16"/>
  <c r="AH20" i="16"/>
  <c r="AH11" i="16"/>
  <c r="AH12" i="16"/>
  <c r="AH29" i="16" s="1"/>
  <c r="AG23" i="16"/>
  <c r="AK12" i="16"/>
  <c r="AK11" i="16"/>
  <c r="AI20" i="16"/>
  <c r="AI12" i="16"/>
  <c r="AI29" i="16" s="1"/>
  <c r="AM13" i="16" l="1"/>
  <c r="D43" i="3"/>
  <c r="AM21" i="16"/>
  <c r="AM28" i="16"/>
  <c r="AK13" i="16"/>
  <c r="AK21" i="16"/>
  <c r="AK28" i="16"/>
  <c r="AK22" i="16"/>
  <c r="AK29" i="16"/>
  <c r="AM23" i="16"/>
  <c r="AM30" i="16"/>
  <c r="AH13" i="16"/>
  <c r="AH30" i="16" s="1"/>
  <c r="AH28" i="16"/>
  <c r="AM22" i="16"/>
  <c r="AM29" i="16"/>
  <c r="AI21" i="16"/>
  <c r="AH21" i="16"/>
  <c r="AI13" i="16"/>
  <c r="AI22" i="16"/>
  <c r="AH22" i="16"/>
  <c r="G122" i="3" l="1"/>
  <c r="M122" i="3" s="1"/>
  <c r="G154" i="3"/>
  <c r="M154" i="3" s="1"/>
  <c r="D57" i="3"/>
  <c r="D126" i="3" s="1"/>
  <c r="D136" i="3" s="1"/>
  <c r="P136" i="3" s="1"/>
  <c r="D122" i="3"/>
  <c r="G57" i="3"/>
  <c r="G126" i="3" s="1"/>
  <c r="C43" i="3"/>
  <c r="C122" i="3" s="1"/>
  <c r="AI30" i="16"/>
  <c r="AK23" i="16"/>
  <c r="E43" i="3"/>
  <c r="E122" i="3" s="1"/>
  <c r="AK30" i="16"/>
  <c r="AH23" i="16"/>
  <c r="AI23" i="16"/>
  <c r="G136" i="3" l="1"/>
  <c r="M126" i="3"/>
  <c r="M183" i="3" s="1"/>
  <c r="M136" i="3"/>
  <c r="D137" i="3"/>
  <c r="D139" i="3"/>
  <c r="P119" i="3" s="1"/>
  <c r="G183" i="3"/>
  <c r="D183" i="3"/>
  <c r="C154" i="3"/>
  <c r="D154" i="3"/>
  <c r="E154" i="3"/>
  <c r="G153" i="3"/>
  <c r="M153" i="3" s="1"/>
  <c r="D153" i="3"/>
  <c r="C57" i="3"/>
  <c r="E57" i="3"/>
  <c r="E126" i="3" s="1"/>
  <c r="S136" i="3" l="1"/>
  <c r="AB136" i="3"/>
  <c r="AB189" i="3" s="1"/>
  <c r="G137" i="3"/>
  <c r="G138" i="3" s="1"/>
  <c r="D37" i="2"/>
  <c r="G80" i="19"/>
  <c r="G80" i="2"/>
  <c r="M189" i="3"/>
  <c r="P114" i="3"/>
  <c r="S114" i="3"/>
  <c r="D138" i="3"/>
  <c r="E136" i="3"/>
  <c r="Q136" i="3" s="1"/>
  <c r="D189" i="3"/>
  <c r="G189" i="3"/>
  <c r="E183" i="3"/>
  <c r="D167" i="3"/>
  <c r="P137" i="3" s="1"/>
  <c r="E153" i="3"/>
  <c r="G167" i="3"/>
  <c r="AB167" i="3" s="1"/>
  <c r="M138" i="3" l="1"/>
  <c r="AB138" i="3"/>
  <c r="AB191" i="3" s="1"/>
  <c r="M137" i="3"/>
  <c r="G100" i="2" s="1"/>
  <c r="S141" i="3"/>
  <c r="AB137" i="3"/>
  <c r="AB190" i="3" s="1"/>
  <c r="G100" i="19"/>
  <c r="S137" i="3"/>
  <c r="M167" i="3"/>
  <c r="E137" i="3"/>
  <c r="Q141" i="3" s="1"/>
  <c r="E189" i="3"/>
  <c r="E167" i="3"/>
  <c r="Q137" i="3" s="1"/>
  <c r="G81" i="19" l="1"/>
  <c r="G81" i="2"/>
  <c r="Q114" i="3"/>
  <c r="E138" i="3"/>
  <c r="H135" i="3"/>
  <c r="H139" i="3" s="1"/>
  <c r="T119" i="3" s="1"/>
  <c r="G135" i="3"/>
  <c r="F135" i="3"/>
  <c r="F139" i="3" s="1"/>
  <c r="D161" i="3"/>
  <c r="E135" i="3"/>
  <c r="E139" i="3" s="1"/>
  <c r="G161" i="3" l="1"/>
  <c r="M161" i="3" s="1"/>
  <c r="M135" i="3"/>
  <c r="E170" i="3"/>
  <c r="Q120" i="3" s="1"/>
  <c r="Q119" i="3"/>
  <c r="F170" i="3"/>
  <c r="R120" i="3" s="1"/>
  <c r="R119" i="3"/>
  <c r="H170" i="3"/>
  <c r="F190" i="3"/>
  <c r="E190" i="3"/>
  <c r="D170" i="3"/>
  <c r="P120" i="3" s="1"/>
  <c r="G139" i="3"/>
  <c r="H190" i="3"/>
  <c r="E161" i="3"/>
  <c r="F161" i="3"/>
  <c r="D190" i="3"/>
  <c r="G190" i="3"/>
  <c r="H161" i="3"/>
  <c r="M139" i="3" l="1"/>
  <c r="AB139" i="3"/>
  <c r="T120" i="3"/>
  <c r="G170" i="3"/>
  <c r="AB170" i="3" s="1"/>
  <c r="S119" i="3"/>
  <c r="H191" i="3"/>
  <c r="H168" i="3"/>
  <c r="E168" i="3"/>
  <c r="G168" i="3"/>
  <c r="D168" i="3"/>
  <c r="F168" i="3"/>
  <c r="M168" i="3" l="1"/>
  <c r="G101" i="19" s="1"/>
  <c r="AB168" i="3"/>
  <c r="S120" i="3"/>
  <c r="M170" i="3"/>
  <c r="S142" i="3"/>
  <c r="S115" i="3"/>
  <c r="Q142" i="3"/>
  <c r="Q115" i="3"/>
  <c r="T142" i="3"/>
  <c r="T115" i="3"/>
  <c r="R142" i="3"/>
  <c r="R115" i="3"/>
  <c r="P115" i="3"/>
  <c r="M190" i="3"/>
  <c r="G169" i="3"/>
  <c r="G191" i="3"/>
  <c r="E169" i="3"/>
  <c r="E191" i="3"/>
  <c r="F169" i="3"/>
  <c r="F191" i="3"/>
  <c r="D169" i="3"/>
  <c r="D191" i="3"/>
  <c r="M191" i="3"/>
  <c r="H169" i="3"/>
  <c r="G101" i="2" l="1"/>
  <c r="M169" i="3"/>
  <c r="C38" i="2" s="1"/>
  <c r="AB169" i="3"/>
  <c r="D38" i="19"/>
  <c r="D38" i="2"/>
  <c r="C38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Stefán Þór Kristinsson</author>
  </authors>
  <commentList>
    <comment ref="I26" authorId="0" shapeId="0" xr:uid="{F91603A0-AF16-4F61-8B05-ABB33F9ED2C4}">
      <text>
        <r>
          <rPr>
            <b/>
            <sz val="9"/>
            <color indexed="81"/>
            <rFont val="Tahoma"/>
            <family val="2"/>
          </rPr>
          <t>Stefán Þór Kristinsson:</t>
        </r>
        <r>
          <rPr>
            <sz val="9"/>
            <color indexed="81"/>
            <rFont val="Tahoma"/>
            <family val="2"/>
          </rPr>
          <t xml:space="preserve">
veitur.is/kolefnisspor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tc={046EBB9B-69DF-4102-9B20-D32C67B5719F}</author>
    <author>tc={1DAAD41C-E3E8-47BC-9EF3-E27687A71A4D}</author>
    <author>Martina Stefani</author>
    <author>Inga Rún Helgadóttir</author>
  </authors>
  <commentList>
    <comment ref="B12" authorId="0" shapeId="0" xr:uid="{046EBB9B-69DF-4102-9B20-D32C67B5719F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1950-2004 this is the sum of Food and Manure from old estimation file</t>
      </text>
    </comment>
    <comment ref="N12" authorId="1" shapeId="0" xr:uid="{1DAAD41C-E3E8-47BC-9EF3-E27687A71A4D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1950-2004 this is the sum of Food and Manure from old estimation files</t>
      </text>
    </comment>
    <comment ref="K54" authorId="2" shapeId="0" xr:uid="{E24CA1DA-8B38-47D2-BF8E-BA639B777E20}">
      <text>
        <r>
          <rPr>
            <b/>
            <sz val="9"/>
            <color indexed="81"/>
            <rFont val="Tahoma"/>
            <family val="2"/>
          </rPr>
          <t>Martina Stefani:</t>
        </r>
        <r>
          <rPr>
            <sz val="9"/>
            <color indexed="81"/>
            <rFont val="Tahoma"/>
            <family val="2"/>
          </rPr>
          <t xml:space="preserve">
#MS#27/09/2021 As communicated by company 07/06/2021 email Gyða Björnsdottir
</t>
        </r>
      </text>
    </comment>
    <comment ref="Y86" authorId="3" shapeId="0" xr:uid="{9B1968F3-9432-4DFF-AF11-6B6C8596C299}">
      <text>
        <r>
          <rPr>
            <b/>
            <sz val="9"/>
            <color indexed="81"/>
            <rFont val="Tahoma"/>
            <family val="2"/>
          </rPr>
          <t>Inga Rún Helgadóttir:</t>
        </r>
        <r>
          <rPr>
            <sz val="9"/>
            <color indexed="81"/>
            <rFont val="Tahoma"/>
            <family val="2"/>
          </rPr>
          <t xml:space="preserve">
Reiknað miðað við 95% hreinleika metangassins. Eðlisþyngd metans er 0.717 kg/Nm3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<sst xmlns="http://schemas.openxmlformats.org/spreadsheetml/2006/main" count="3856" uniqueCount="1050">
  <si>
    <t>Umhverfi</t>
  </si>
  <si>
    <t>Losun (án landnotkunar og skógræktar)</t>
  </si>
  <si>
    <t>Einingar</t>
  </si>
  <si>
    <t>Samtals</t>
  </si>
  <si>
    <t>tCO2í</t>
  </si>
  <si>
    <t>https://www.ust.is/loft/losun-grodurhusalofttegunda/losun-islands/</t>
  </si>
  <si>
    <t>Orka</t>
  </si>
  <si>
    <t>Iðnaður og efnanotkun</t>
  </si>
  <si>
    <t>Landbúnaður</t>
  </si>
  <si>
    <t>Úrgangur</t>
  </si>
  <si>
    <t>Fiskiskip</t>
  </si>
  <si>
    <t>Vegasamgöngur</t>
  </si>
  <si>
    <t>Innanlandsflug</t>
  </si>
  <si>
    <t>Strandsiglingar</t>
  </si>
  <si>
    <t>Vélar og tæki</t>
  </si>
  <si>
    <t>Eldsneytisbruni vegna iðnaðar</t>
  </si>
  <si>
    <t>Jarðvarmavirkjanir</t>
  </si>
  <si>
    <t>Annað</t>
  </si>
  <si>
    <t>Losun skipt eftir skuldbindingu (án landnotkunar og skógræktar)</t>
  </si>
  <si>
    <t>Iðnaður</t>
  </si>
  <si>
    <t>Steinefnaiðnaður</t>
  </si>
  <si>
    <t>Efnaiðnaður</t>
  </si>
  <si>
    <t>Málmiðnaður</t>
  </si>
  <si>
    <t>Leysiefni</t>
  </si>
  <si>
    <t>F-gös (m.a. kælimiðlar)</t>
  </si>
  <si>
    <t>Efnanotkun</t>
  </si>
  <si>
    <t>Iðragerjun</t>
  </si>
  <si>
    <t>Meðhöndlun húsdýraáburðar</t>
  </si>
  <si>
    <t>Nytjajarðvegur</t>
  </si>
  <si>
    <t>Áburður</t>
  </si>
  <si>
    <t>Urðun úrgangs</t>
  </si>
  <si>
    <t>Jarðgerð</t>
  </si>
  <si>
    <t>Brennsla og opinn bruni</t>
  </si>
  <si>
    <t>Meðhöndlun skólps</t>
  </si>
  <si>
    <t>Losun BÁS</t>
  </si>
  <si>
    <t>Annað - Orka</t>
  </si>
  <si>
    <t>Annað - Iðnaður</t>
  </si>
  <si>
    <t>Losun frá staðbundnum iðnaði sem fellur undir viðskiptakerfi ESB</t>
  </si>
  <si>
    <t>Eldsneytisbruni (orka), staðbundinn iðnaður (CO2)</t>
  </si>
  <si>
    <t>Kísil- og kísilmálmframleiðsla (CO2)</t>
  </si>
  <si>
    <t>Álframleiðsla (CO2 og PFC)</t>
  </si>
  <si>
    <t>Year:</t>
  </si>
  <si>
    <t>Inventory</t>
  </si>
  <si>
    <r>
      <t>Emissions (tCO</t>
    </r>
    <r>
      <rPr>
        <b/>
        <u/>
        <vertAlign val="subscript"/>
        <sz val="12"/>
        <color theme="1"/>
        <rFont val="Arial"/>
        <family val="2"/>
        <scheme val="minor"/>
      </rPr>
      <t>2</t>
    </r>
    <r>
      <rPr>
        <b/>
        <u/>
        <sz val="12"/>
        <color theme="1"/>
        <rFont val="Arial"/>
        <family val="2"/>
        <scheme val="minor"/>
      </rPr>
      <t xml:space="preserve"> íg)</t>
    </r>
  </si>
  <si>
    <t>Total</t>
  </si>
  <si>
    <t>Scope 1</t>
  </si>
  <si>
    <t>Scope 2</t>
  </si>
  <si>
    <t>Scope 3</t>
  </si>
  <si>
    <t>Energy</t>
  </si>
  <si>
    <t>Electricity</t>
  </si>
  <si>
    <t xml:space="preserve">  Distribution losses</t>
  </si>
  <si>
    <t>Heat</t>
  </si>
  <si>
    <t>Construction - stationary energy</t>
  </si>
  <si>
    <t>Transport</t>
  </si>
  <si>
    <t>On-road</t>
  </si>
  <si>
    <t>Waterborne navigation</t>
  </si>
  <si>
    <t>Aviation</t>
  </si>
  <si>
    <t>Waste</t>
  </si>
  <si>
    <t>Landfilling</t>
  </si>
  <si>
    <t>Composting</t>
  </si>
  <si>
    <t>Incineration</t>
  </si>
  <si>
    <t>Wastewater discharge</t>
  </si>
  <si>
    <t>AFOLU</t>
  </si>
  <si>
    <t>Livestock farming</t>
  </si>
  <si>
    <t>Land use</t>
  </si>
  <si>
    <t>IPPU</t>
  </si>
  <si>
    <t>Product use</t>
  </si>
  <si>
    <t>Construction materials</t>
  </si>
  <si>
    <t>Other industry</t>
  </si>
  <si>
    <t>Total per capita</t>
  </si>
  <si>
    <t>Emissions sector</t>
  </si>
  <si>
    <t>Sub-sector</t>
  </si>
  <si>
    <t>Summary -</t>
  </si>
  <si>
    <t>BASIC</t>
  </si>
  <si>
    <r>
      <t>t CO</t>
    </r>
    <r>
      <rPr>
        <vertAlign val="sub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-equivalents</t>
    </r>
  </si>
  <si>
    <r>
      <t>t CO</t>
    </r>
    <r>
      <rPr>
        <vertAlign val="sub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-equivalents per capita</t>
    </r>
  </si>
  <si>
    <t>BASIC+</t>
  </si>
  <si>
    <t>Ár:</t>
  </si>
  <si>
    <t>Samantekt</t>
  </si>
  <si>
    <t>Losun (tCO2 íg)</t>
  </si>
  <si>
    <t>Umfang 1</t>
  </si>
  <si>
    <t>Umfang 2</t>
  </si>
  <si>
    <t>Umfang 3</t>
  </si>
  <si>
    <t>Orkunotkun</t>
  </si>
  <si>
    <t>Raforka</t>
  </si>
  <si>
    <t xml:space="preserve"> Vegna dreifitapa</t>
  </si>
  <si>
    <t>Hitaveita</t>
  </si>
  <si>
    <t>Byggingar - staðbundin eldsneytisnotkun</t>
  </si>
  <si>
    <t>Samgöngur</t>
  </si>
  <si>
    <t>Götuumferð</t>
  </si>
  <si>
    <t>Skipaumferð</t>
  </si>
  <si>
    <t>Flugumferð</t>
  </si>
  <si>
    <t>Urðun</t>
  </si>
  <si>
    <t>Brennsla</t>
  </si>
  <si>
    <t>Fráveita</t>
  </si>
  <si>
    <t>Landbúnaður og landnotkun</t>
  </si>
  <si>
    <t>Búfjárræktun</t>
  </si>
  <si>
    <t>Landnotkun</t>
  </si>
  <si>
    <t>Efnanotkun og iðnaður</t>
  </si>
  <si>
    <t>Byggingariðnaður - efni</t>
  </si>
  <si>
    <t>Samtals á íbúa</t>
  </si>
  <si>
    <t>Losunarflokkur</t>
  </si>
  <si>
    <t>Undirflokkur</t>
  </si>
  <si>
    <t xml:space="preserve">Orkunotkun - </t>
  </si>
  <si>
    <t>t CO2-ígilda</t>
  </si>
  <si>
    <t>t CO2 ígilda á íbúa</t>
  </si>
  <si>
    <t xml:space="preserve">Samgöngur - </t>
  </si>
  <si>
    <t>Loftslagsbókhald Reykjavíkur</t>
  </si>
  <si>
    <t>Almennar upplýsingar</t>
  </si>
  <si>
    <t>Fólksfjöldi Reykjavík</t>
  </si>
  <si>
    <t>Hagstofa</t>
  </si>
  <si>
    <t>Fólksfjöldi HBS</t>
  </si>
  <si>
    <t>Reykjavíkurborg</t>
  </si>
  <si>
    <t>Hlutfall RVK</t>
  </si>
  <si>
    <t>Kópavogsbær</t>
  </si>
  <si>
    <t>Fólksfjöldi Ísland</t>
  </si>
  <si>
    <t>Seltjarnarnesbær</t>
  </si>
  <si>
    <t>Hlutfall HBS</t>
  </si>
  <si>
    <t>Garðabær</t>
  </si>
  <si>
    <t>Hafnarfjarðarkaupstaður</t>
  </si>
  <si>
    <t>Mosfellsbær</t>
  </si>
  <si>
    <t>HBS</t>
  </si>
  <si>
    <t>Alls</t>
  </si>
  <si>
    <t>https://ust.is/loft/losun-grodurhusalofttegunda/gagnabirtir/</t>
  </si>
  <si>
    <t>kWst</t>
  </si>
  <si>
    <t>Raforkuspá</t>
  </si>
  <si>
    <t>Losunarstuðull</t>
  </si>
  <si>
    <t>gCO2/kWst</t>
  </si>
  <si>
    <t>Losun vegna raforku</t>
  </si>
  <si>
    <t>Hitavatnsvinnsla</t>
  </si>
  <si>
    <t>GL</t>
  </si>
  <si>
    <t>https://www.veitur.is/utgefid-efni/hitaveita</t>
  </si>
  <si>
    <t>gCO2/m3</t>
  </si>
  <si>
    <t>Losun vegna hitaveitu</t>
  </si>
  <si>
    <t>Magn ekið</t>
  </si>
  <si>
    <t>M km</t>
  </si>
  <si>
    <t>Mannvit - umferðarlíkan</t>
  </si>
  <si>
    <t>Losun vegna götuumferðar</t>
  </si>
  <si>
    <t>https://ssh.is/images/stories/Samgongumal/2017_Greinagerd_Umferdarspa_2030_LOKA.pdf</t>
  </si>
  <si>
    <t xml:space="preserve">  Þar af vegna fólksbifreiða</t>
  </si>
  <si>
    <t>https://www.samgongustofa.is/umferd/tolfraedi/onnur-tolfraedi/</t>
  </si>
  <si>
    <t xml:space="preserve">  Þar af vegna hópferðabifreiða</t>
  </si>
  <si>
    <t>Eldsneytisspá</t>
  </si>
  <si>
    <t xml:space="preserve">  Þar af vegna vörubifreiða</t>
  </si>
  <si>
    <t>Fjöldi skipakoma</t>
  </si>
  <si>
    <t>https://www.faxafloahafnir.is/utstreymisbokhald/</t>
  </si>
  <si>
    <t>Losun vegna skipa</t>
  </si>
  <si>
    <t>Fjöldi flughreyfinga</t>
  </si>
  <si>
    <t>https://www.isavia.is/fyrirtaekid/um-isavia/utgefid-efni/flugtolur/flugtolur</t>
  </si>
  <si>
    <t>Losun vegna flugumferðar</t>
  </si>
  <si>
    <t>Úrgangur og fráveita</t>
  </si>
  <si>
    <t>Magn urðað</t>
  </si>
  <si>
    <t>t</t>
  </si>
  <si>
    <t>https://sorpa.is/um-sorpu/utgefid-efni/arsskyrslur</t>
  </si>
  <si>
    <t>Losun vegna urðunar</t>
  </si>
  <si>
    <t>sorpagraentbokhald2020undirritad.pdf (dccweb.net)</t>
  </si>
  <si>
    <t>Urðun úrgangs Reykjavíkur</t>
  </si>
  <si>
    <t>Losun vegna jarðgerðar</t>
  </si>
  <si>
    <t>Jarðgerð úrgangs Reykjavíkur</t>
  </si>
  <si>
    <t>Magn brennt</t>
  </si>
  <si>
    <t>kg</t>
  </si>
  <si>
    <t>https://www.kalka.is/is/um-fyrirtaekid/stjorn-kolku-sorpeydingarstodvar-sf-2018-2022/fundargerdir/adalfundir</t>
  </si>
  <si>
    <t xml:space="preserve">  Þar af upprunið í Reykjavík</t>
  </si>
  <si>
    <t>Losun vegna brennslu</t>
  </si>
  <si>
    <t>Losun metans vegna dom fráveitu</t>
  </si>
  <si>
    <t>Losun glaðlofts vegna dom fráveitu</t>
  </si>
  <si>
    <t>Losun metans vegna fiskverkunar</t>
  </si>
  <si>
    <t>Losun vegna fráveitu</t>
  </si>
  <si>
    <t>Samtals losun vegna úrgangs</t>
  </si>
  <si>
    <t>Losun vegna landnotkunar</t>
  </si>
  <si>
    <t>https://www.stjornarradid.is/verkefni/atvinnuvegir/landbunadur/maelabord-landbunadarins-/</t>
  </si>
  <si>
    <t>Losun frá framræstu votlendi</t>
  </si>
  <si>
    <t>Binding vegna skógræktar</t>
  </si>
  <si>
    <t>Losun vegna búfjárræktunar</t>
  </si>
  <si>
    <t xml:space="preserve">  Þar af vegna sauðfés</t>
  </si>
  <si>
    <t xml:space="preserve">  Þar af vegna nautgripa</t>
  </si>
  <si>
    <t xml:space="preserve">  Þar af vegna svína</t>
  </si>
  <si>
    <t xml:space="preserve">  Þar af vegna hrossa</t>
  </si>
  <si>
    <t xml:space="preserve">  Þar af vegna geita</t>
  </si>
  <si>
    <t xml:space="preserve">  Þar af vegna hænsna</t>
  </si>
  <si>
    <t>Efni í stað ósóneyðandi efna</t>
  </si>
  <si>
    <t>tCO2Í</t>
  </si>
  <si>
    <t>Heildar losun frá notkun kælimiðla</t>
  </si>
  <si>
    <t>Hlutfall fiskiskipa</t>
  </si>
  <si>
    <t>-</t>
  </si>
  <si>
    <t xml:space="preserve">Losun fiskiskipa </t>
  </si>
  <si>
    <t>Önnur losun</t>
  </si>
  <si>
    <t>Losun vegna kælimiðla innan RVK</t>
  </si>
  <si>
    <t>Aerosols í heildina</t>
  </si>
  <si>
    <t>ktCO2í</t>
  </si>
  <si>
    <t>Losun vegna Aerosols</t>
  </si>
  <si>
    <t>Glaðloft og gufa frá landspítala</t>
  </si>
  <si>
    <t>Losun vegna glaðlofts spítala</t>
  </si>
  <si>
    <t>Gufuframleiðsla spítala</t>
  </si>
  <si>
    <t>Leysiefni og eldsneytistengt (CFR 2D)</t>
  </si>
  <si>
    <t>LPG almenningur</t>
  </si>
  <si>
    <t>NIR</t>
  </si>
  <si>
    <t>LPG commercial, institutional</t>
  </si>
  <si>
    <t>LPG notkun samtals</t>
  </si>
  <si>
    <t>TJ</t>
  </si>
  <si>
    <t>Losun vegna notkunar kósangasa</t>
  </si>
  <si>
    <t>Sumolía í heildina</t>
  </si>
  <si>
    <t>Losun vegna smurolíu</t>
  </si>
  <si>
    <t>Paraffin í heildina</t>
  </si>
  <si>
    <t>Losun vegna Paraffin vax</t>
  </si>
  <si>
    <t>Annað (2D3) í heildina</t>
  </si>
  <si>
    <t>Losun vegna annað (2D3)</t>
  </si>
  <si>
    <t>Samtals losun vegna efnanotkunar</t>
  </si>
  <si>
    <t>Byggingariðnaður</t>
  </si>
  <si>
    <t>https://reykjavik.is/husnaedi/uppbygging-ibuda-eftir-skipulagsflokkum</t>
  </si>
  <si>
    <t>Hafin smíði á íbúðum í RVK</t>
  </si>
  <si>
    <t>https://www.si.is/media/_eplica-uppsetning/Fridrik_glaerur_Final.pdf</t>
  </si>
  <si>
    <t>Fimm ára meðaltal</t>
  </si>
  <si>
    <t>https://www.si.is/starfsemi/ibudamarkadurinn/</t>
  </si>
  <si>
    <t>m2</t>
  </si>
  <si>
    <t>Íbúðir á framkvæmdarstigi</t>
  </si>
  <si>
    <t>Byggingariðnaður - orka á verkstað</t>
  </si>
  <si>
    <t>Innlend matvælaframleiðsla</t>
  </si>
  <si>
    <t>kt CO2e</t>
  </si>
  <si>
    <t xml:space="preserve">  Metan</t>
  </si>
  <si>
    <t xml:space="preserve">  Glaðloft</t>
  </si>
  <si>
    <t>Losun matvælaframleiðslu í RVK</t>
  </si>
  <si>
    <t>Samantekt losunar</t>
  </si>
  <si>
    <t>Fólksbifreiðar</t>
  </si>
  <si>
    <t>Private cars</t>
  </si>
  <si>
    <t>Hópbifreiðar</t>
  </si>
  <si>
    <t>Public vehicles</t>
  </si>
  <si>
    <t>Vörubifreiðar</t>
  </si>
  <si>
    <t>Goods vehicles</t>
  </si>
  <si>
    <t>Úrgangur -</t>
  </si>
  <si>
    <t>Landbúnaður og landnotkun -</t>
  </si>
  <si>
    <t xml:space="preserve">Efnanotkun og iðnaður - </t>
  </si>
  <si>
    <t xml:space="preserve">Samantekt - </t>
  </si>
  <si>
    <t>Búfjárrækt</t>
  </si>
  <si>
    <t>BASIC+ S3</t>
  </si>
  <si>
    <t>Annar iðnaður</t>
  </si>
  <si>
    <t>Afolu</t>
  </si>
  <si>
    <t>Construction industry</t>
  </si>
  <si>
    <t>Staðbundin eldsneytisnotkun</t>
  </si>
  <si>
    <t>Stationary energy</t>
  </si>
  <si>
    <t>Energy -</t>
  </si>
  <si>
    <t>Transport -</t>
  </si>
  <si>
    <t>Waste -</t>
  </si>
  <si>
    <t>AFOLU -</t>
  </si>
  <si>
    <t>IPPU -</t>
  </si>
  <si>
    <t>Fyrir graf</t>
  </si>
  <si>
    <t xml:space="preserve">Tafla 1. sýnir meðalumferð á dag eftir mánuðum í þremur völdum sniðum innan höfuðborgarsvæðis. </t>
  </si>
  <si>
    <t>Höfuðborgarsvæðið</t>
  </si>
  <si>
    <t>Hafnarfjarðarvegur sunnan Kópavogslækjar</t>
  </si>
  <si>
    <t>Reykjanesbraut við Dalveg í Kópavogi</t>
  </si>
  <si>
    <r>
      <t xml:space="preserve">Vesturlandsvegur (Nesbraut) móts við Skeljung, </t>
    </r>
    <r>
      <rPr>
        <sz val="8"/>
        <rFont val="Arial"/>
        <family val="2"/>
      </rPr>
      <t>(ofan Ártúnsbrekku)</t>
    </r>
  </si>
  <si>
    <t>Samanlögð meðalumferð á talningastöðum</t>
  </si>
  <si>
    <t>Meðalumfer/dag fyrir hvern mánuð lagður saman (reiknitala)</t>
  </si>
  <si>
    <t xml:space="preserve">          ---- Mismunur ----</t>
  </si>
  <si>
    <t xml:space="preserve">samtals </t>
  </si>
  <si>
    <t>Fjöldi ökutækja</t>
  </si>
  <si>
    <t>Fjöldi í úrtaki</t>
  </si>
  <si>
    <t>Hlutfall í úrtaki</t>
  </si>
  <si>
    <t>Meðalakstur á dag</t>
  </si>
  <si>
    <t>Meðalakstur á ári</t>
  </si>
  <si>
    <t>milljón km</t>
  </si>
  <si>
    <t>Lengd vegkafla í km →</t>
  </si>
  <si>
    <t>Umferð</t>
  </si>
  <si>
    <t>Meðalumferð</t>
  </si>
  <si>
    <t>Bensín</t>
  </si>
  <si>
    <t>Emission factors (T/TJ)</t>
  </si>
  <si>
    <r>
      <t>Ár↓    mán.↓   Vegnr</t>
    </r>
    <r>
      <rPr>
        <sz val="10"/>
        <rFont val="Arial"/>
        <family val="2"/>
      </rPr>
      <t>.→</t>
    </r>
  </si>
  <si>
    <t>40-03</t>
  </si>
  <si>
    <t>41-12</t>
  </si>
  <si>
    <t>49-01</t>
  </si>
  <si>
    <t>Uppsafnað</t>
  </si>
  <si>
    <t xml:space="preserve">Vegkaflar </t>
  </si>
  <si>
    <t xml:space="preserve">Samtals </t>
  </si>
  <si>
    <t>SGS  - Staða í lok árs</t>
  </si>
  <si>
    <t>Í Umferð</t>
  </si>
  <si>
    <t>L/100km</t>
  </si>
  <si>
    <t>L/km</t>
  </si>
  <si>
    <t>kg/L</t>
  </si>
  <si>
    <t>kg/km (kT/mkm)</t>
  </si>
  <si>
    <t>TJ/kT</t>
  </si>
  <si>
    <t>TJ/mkm</t>
  </si>
  <si>
    <t>CO2</t>
  </si>
  <si>
    <t>CH4</t>
  </si>
  <si>
    <t>N2O</t>
  </si>
  <si>
    <t>CO2-íg/L</t>
  </si>
  <si>
    <t>kg CO2 íg</t>
  </si>
  <si>
    <t>T CO2 íg</t>
  </si>
  <si>
    <r>
      <t xml:space="preserve"> Umferð</t>
    </r>
    <r>
      <rPr>
        <sz val="10"/>
        <rFont val="Arial"/>
        <family val="2"/>
      </rPr>
      <t>→</t>
    </r>
  </si>
  <si>
    <t>Fjöldi bíla pr. dag</t>
  </si>
  <si>
    <r>
      <rPr>
        <sz val="11"/>
        <rFont val="Arial"/>
        <family val="2"/>
      </rPr>
      <t>Σ</t>
    </r>
    <r>
      <rPr>
        <sz val="10"/>
        <rFont val="Arial"/>
        <family val="2"/>
      </rPr>
      <t xml:space="preserve"> umf/dag</t>
    </r>
  </si>
  <si>
    <r>
      <rPr>
        <sz val="11"/>
        <rFont val="Arial"/>
        <family val="2"/>
      </rPr>
      <t>Σ</t>
    </r>
    <r>
      <rPr>
        <sz val="10"/>
        <rFont val="Arial"/>
        <family val="2"/>
      </rPr>
      <t xml:space="preserve"> umferð</t>
    </r>
  </si>
  <si>
    <t>Mánaða</t>
  </si>
  <si>
    <t>Af er árs</t>
  </si>
  <si>
    <t>Fólksbifreið</t>
  </si>
  <si>
    <t>Hópbifreiðar ≤5t</t>
  </si>
  <si>
    <t>Janúar</t>
  </si>
  <si>
    <t>Sendibifreið</t>
  </si>
  <si>
    <t>Hópbifreiðar &gt;5t</t>
  </si>
  <si>
    <t>Fólksbílar</t>
  </si>
  <si>
    <t>Febrúar</t>
  </si>
  <si>
    <t>Dráttarvél</t>
  </si>
  <si>
    <t>Sendibifreiðar</t>
  </si>
  <si>
    <t>Dísil</t>
  </si>
  <si>
    <t>Mars</t>
  </si>
  <si>
    <t>Tjaldvagn</t>
  </si>
  <si>
    <t>Vörubifreiðar ≤12t</t>
  </si>
  <si>
    <t>Apríl</t>
  </si>
  <si>
    <t>Eftirvagn</t>
  </si>
  <si>
    <t>Vörubifreiðar &gt;12t</t>
  </si>
  <si>
    <t>Smáar hópbifreiðar</t>
  </si>
  <si>
    <t>Maí</t>
  </si>
  <si>
    <t>Hjólhýsi</t>
  </si>
  <si>
    <t>Dísel</t>
  </si>
  <si>
    <t>Vöruflutningar</t>
  </si>
  <si>
    <t>Júní</t>
  </si>
  <si>
    <t>Þungt bifhjól</t>
  </si>
  <si>
    <t>Júlí</t>
  </si>
  <si>
    <t>Beitabifhjól</t>
  </si>
  <si>
    <t>Sendibílar</t>
  </si>
  <si>
    <t>Ágúst</t>
  </si>
  <si>
    <t>Vörubifreið II</t>
  </si>
  <si>
    <t>September</t>
  </si>
  <si>
    <t>Vörubifreið I</t>
  </si>
  <si>
    <t>Október</t>
  </si>
  <si>
    <t>Fellihýsi</t>
  </si>
  <si>
    <t>Stærri hópbifreiðar</t>
  </si>
  <si>
    <t>Nóvember</t>
  </si>
  <si>
    <t>Desember</t>
  </si>
  <si>
    <t>Í umferð</t>
  </si>
  <si>
    <t>Meðalumferð/dag ≈  ÁDU</t>
  </si>
  <si>
    <t>Milli áranna 2005 og 2006</t>
  </si>
  <si>
    <t>Hópbifreið I (M2)</t>
  </si>
  <si>
    <t>Hópbifreið II (M3)</t>
  </si>
  <si>
    <t>Milli áranna 2006 og 2007</t>
  </si>
  <si>
    <t>Rafmagn</t>
  </si>
  <si>
    <t>Bensín / Rafmagn</t>
  </si>
  <si>
    <t>Bensín / Raftengill</t>
  </si>
  <si>
    <t>Dísel / Rafmagn</t>
  </si>
  <si>
    <t>Milli áranna 2007 og 2008</t>
  </si>
  <si>
    <t>Dísel / Raftengill</t>
  </si>
  <si>
    <t>Bensín / Metan</t>
  </si>
  <si>
    <t>Milli áranna 2008 og 2009</t>
  </si>
  <si>
    <t>mkm</t>
  </si>
  <si>
    <t>Skipting AK2018</t>
  </si>
  <si>
    <t>HVDU</t>
  </si>
  <si>
    <t>Milli áranna 2009 og 2010</t>
  </si>
  <si>
    <t>VU</t>
  </si>
  <si>
    <t>ÁU</t>
  </si>
  <si>
    <t>í Reykjavík</t>
  </si>
  <si>
    <t>Milli áranna 2010 og 2011</t>
  </si>
  <si>
    <t>Milli áranna 2011 og 2012</t>
  </si>
  <si>
    <r>
      <t xml:space="preserve">2013                </t>
    </r>
    <r>
      <rPr>
        <b/>
        <i/>
        <sz val="9"/>
        <rFont val="Arial"/>
        <family val="2"/>
      </rPr>
      <t xml:space="preserve"> </t>
    </r>
    <r>
      <rPr>
        <i/>
        <sz val="9"/>
        <rFont val="Arial"/>
        <family val="2"/>
      </rPr>
      <t>(teljari 40-03, bilaður frá apríl - des)</t>
    </r>
  </si>
  <si>
    <t>Milli áranna 2012 og 2013</t>
  </si>
  <si>
    <t>Milli áranna 2019 og 2012</t>
  </si>
  <si>
    <t>Milli áranna 2013 og 2014</t>
  </si>
  <si>
    <t>Milli áranna 2014 og 2015</t>
  </si>
  <si>
    <r>
      <t>ÁDU</t>
    </r>
    <r>
      <rPr>
        <vertAlign val="subscript"/>
        <sz val="10"/>
        <rFont val="Arial"/>
        <family val="2"/>
      </rPr>
      <t>nálgað</t>
    </r>
  </si>
  <si>
    <t>Milli áranna 2015 og 2016</t>
  </si>
  <si>
    <t>Milli áranna 2016 og 2017</t>
  </si>
  <si>
    <t>Milli áranna 2017 og 2018</t>
  </si>
  <si>
    <t>Metan og annað eldsneyti</t>
  </si>
  <si>
    <t>Tengitvinnbílar</t>
  </si>
  <si>
    <t>Tvinnbílar</t>
  </si>
  <si>
    <t>E.þ. &lt;= 500 kg</t>
  </si>
  <si>
    <t>..</t>
  </si>
  <si>
    <t>500 kg &lt; e.þ. &lt;= 1000 kg</t>
  </si>
  <si>
    <t>1000 kg &lt; e.þ. &lt;= 1200 kg</t>
  </si>
  <si>
    <t>1200 kg &lt; e.þ. &lt;= 1400 kg</t>
  </si>
  <si>
    <t>1400 kg &lt; e.þ. &lt;= 1600 kg</t>
  </si>
  <si>
    <t>1600 kg &lt; e.þ. &lt;= 2000 kg</t>
  </si>
  <si>
    <t>2000 kg &lt; e.þ. &lt;= 2500 kg</t>
  </si>
  <si>
    <t>2500 kg &lt; e.þ. &lt;= 3000 kg</t>
  </si>
  <si>
    <r>
      <t>2020</t>
    </r>
    <r>
      <rPr>
        <b/>
        <sz val="20"/>
        <color rgb="FFFF0000"/>
        <rFont val="Arial"/>
        <family val="2"/>
      </rPr>
      <t>(grófrýnt)</t>
    </r>
  </si>
  <si>
    <t>3000 kg &lt; e.þ. &lt;= 4000 kg</t>
  </si>
  <si>
    <t>4000 kg &lt; e.þ. &lt;= 6000 kg</t>
  </si>
  <si>
    <t>E.þ &gt; 6000 kg</t>
  </si>
  <si>
    <t>g/kwh</t>
  </si>
  <si>
    <t>t/kwh</t>
  </si>
  <si>
    <t>kwh/TJ</t>
  </si>
  <si>
    <t>t/TJ</t>
  </si>
  <si>
    <r>
      <t>2021</t>
    </r>
    <r>
      <rPr>
        <b/>
        <i/>
        <sz val="18"/>
        <color rgb="FFFF0000"/>
        <rFont val="Arial"/>
        <family val="2"/>
      </rPr>
      <t xml:space="preserve"> (grófrýnt)</t>
    </r>
  </si>
  <si>
    <t>Milli áranna 2020 og 2021</t>
  </si>
  <si>
    <t>UST stuðlar</t>
  </si>
  <si>
    <t>gCO2/km</t>
  </si>
  <si>
    <t>tCO2 íg</t>
  </si>
  <si>
    <t>Akstur</t>
  </si>
  <si>
    <t>Þéttleiki</t>
  </si>
  <si>
    <t>Orkuþéttleiki</t>
  </si>
  <si>
    <t>Leið 1</t>
  </si>
  <si>
    <t>UST 1</t>
  </si>
  <si>
    <t>UST 2</t>
  </si>
  <si>
    <t>Annað, þmt rafmagn</t>
  </si>
  <si>
    <t>HVDU (Mkm)</t>
  </si>
  <si>
    <t>Vikuumferð (Mkm)</t>
  </si>
  <si>
    <t>Árdagsumferð (Mkm)</t>
  </si>
  <si>
    <t>Innan RVK (Mkm)</t>
  </si>
  <si>
    <t>Ferðir</t>
  </si>
  <si>
    <t>Fólksbifreiðar, aðrir orkugjafar</t>
  </si>
  <si>
    <t>Hópferðabifreiðar</t>
  </si>
  <si>
    <t>Milli áranna 2021 og 2022</t>
  </si>
  <si>
    <r>
      <t>2023</t>
    </r>
    <r>
      <rPr>
        <b/>
        <i/>
        <sz val="18"/>
        <color rgb="FFFF0000"/>
        <rFont val="Arial"/>
        <family val="2"/>
      </rPr>
      <t xml:space="preserve"> (grófrýnt)</t>
    </r>
  </si>
  <si>
    <t> </t>
  </si>
  <si>
    <t xml:space="preserve">Loftlagsbókhald Reykjavíkur - Tölur </t>
  </si>
  <si>
    <t>Orkuspásvæði</t>
  </si>
  <si>
    <t xml:space="preserve">Athuga dálkar sem eru merktir með gulum lit eru þeir sem voru settir inn í CIRIS og/eða minnisblaðið. </t>
  </si>
  <si>
    <t>kWh</t>
  </si>
  <si>
    <t>HSA-05 Reykjavík</t>
  </si>
  <si>
    <t>HSB-01 Kjalarnes</t>
  </si>
  <si>
    <t>Samtals HAS-05 og HSB-01</t>
  </si>
  <si>
    <t>Magn [GWh]</t>
  </si>
  <si>
    <t>Deifitöp*</t>
  </si>
  <si>
    <t>Ár</t>
  </si>
  <si>
    <t>Rauðavatn, 132 kV</t>
  </si>
  <si>
    <t>Korpa, 132 kV</t>
  </si>
  <si>
    <t>Heildarorka</t>
  </si>
  <si>
    <t>Heildarorka [kWh]</t>
  </si>
  <si>
    <t>Stuðull [g CO2 íg/kwh]</t>
  </si>
  <si>
    <t>Losun [g CO2 íg]</t>
  </si>
  <si>
    <t>Losun [tCO2 íg]</t>
  </si>
  <si>
    <t>Uppruni gagna</t>
  </si>
  <si>
    <t>Samtals Reykjavík með dreifitöpum</t>
  </si>
  <si>
    <t>Raforkuspá 2019-2050 og National Inventory report 2019</t>
  </si>
  <si>
    <t>* Er ætlað sem hlutfall af dreifitöpum Veitna</t>
  </si>
  <si>
    <t>Veitur (Viðauki 2 í Raforkuspá)</t>
  </si>
  <si>
    <t>Afhending til notenda</t>
  </si>
  <si>
    <t>HSA-05 RVK</t>
  </si>
  <si>
    <t>HSB-01 KJN</t>
  </si>
  <si>
    <t>Samtals RVK</t>
  </si>
  <si>
    <t>Losun vegna dreifitapa</t>
  </si>
  <si>
    <t>Dreifitöp</t>
  </si>
  <si>
    <t>Orkuöflun</t>
  </si>
  <si>
    <t>Töp og ómæld notkun % af orkuöflun</t>
  </si>
  <si>
    <t xml:space="preserve"> </t>
  </si>
  <si>
    <t>Eldri útreikningar á dreifitöpum</t>
  </si>
  <si>
    <t>Skekkja  í útreikningum á dreiftöpum</t>
  </si>
  <si>
    <t>Heitt vatn (upphitun)</t>
  </si>
  <si>
    <t>Vatnsvinnsla hitaveitu í RVK [GL]</t>
  </si>
  <si>
    <t>Framleiðsla [MWth]</t>
  </si>
  <si>
    <t>Framleiðsla [MWh]</t>
  </si>
  <si>
    <t>Stuðull [g CO2 íg/m3]</t>
  </si>
  <si>
    <t>Uppruni upplýsinga</t>
  </si>
  <si>
    <t>Athugasemd</t>
  </si>
  <si>
    <t>Simon Klüpfel og Bjarni Reyr Kristjánsson. (2023). Hitaveita í Reykjavík – Vatnsvinnsla 2022. Reykjavík: Veitur / Orkuveita Reykjavíkur.</t>
  </si>
  <si>
    <t>Simon Klüpfel og Bjarni Reyr Kristjánsson. (2022). Hitaveita í Reykjavík – Vatnsvinnsla 2021. Reykjavík: Veitur / Orkuveita Reykjavíkur.</t>
  </si>
  <si>
    <t>Gretar Ívarsson og Simon Klüpfel. (2021). Hitaveita í Reykjavík – Vatnsvinnsla 2020. Reykjavík: Veitur / Orkuveita Reykjavíkur.</t>
  </si>
  <si>
    <t>Hitaveita í Reykjavík nýttir sér jarðhitavatn frá lághitasvæðunum í Elliðaám, Laugarnesi, Reykjum og Reykjahlíð. Að auki kemur um helmingur alls vatns frá háhitasvæðum í Henglinum (Nesjavellir og Hellisheiði), þar sem kalt grunnvatn er hitað og meðhöndlað.</t>
  </si>
  <si>
    <t>Gretar Ívarsson, Simon Klüpfel, Sigrún Tómasdóttir og Hendrik Tómasson. (2020). Hitaveita í Reykjavík – Vatnsvinnsla 2019. Reykjavík: Veitur / Orkuveita Reykjavíkur.</t>
  </si>
  <si>
    <t>Gretar Ívarsson, Simon Klüpfel, Sigrún Tómasdóttir og Hendrik Tómasson. (2019). Hitaveita í Reykjavík – Vatnsvinnsla 2018. Reykjavík: Veitur / Orkuveita Reykjavíkur.</t>
  </si>
  <si>
    <t>Gretar Ívarsson. (2018). Hitaveita í Reykjavík – Vatnsvinnslan og efnafræði vatnsins 2017. Reykjavík: Veitur / Orkuveita Reykjavíkur.</t>
  </si>
  <si>
    <t>Gretar Ívarsson. (2017). Hitaveita í Reykjavík – Vatnsvinnslan og efnafræði vatnsins 2016. Reykjavík: Veitur / Orkuveita Reykjavíkur.</t>
  </si>
  <si>
    <t>Gretar Ívarsson. (2016). Hitaveita í Reykjavík – Vatnsvinnslan og efnafræði vatnsins 2015. Reykjavík: Veitur / Orkuveita Reykjavíkur.</t>
  </si>
  <si>
    <t>Tafla 1. sýnir</t>
  </si>
  <si>
    <t>Sundahöfn</t>
  </si>
  <si>
    <t>Gamla höfnin</t>
  </si>
  <si>
    <t>Hafnarsvæði Reykjavíkur</t>
  </si>
  <si>
    <t>2015M07</t>
  </si>
  <si>
    <t xml:space="preserve"> -- Breytingar --</t>
  </si>
  <si>
    <t xml:space="preserve">  -- Breytingar --</t>
  </si>
  <si>
    <t>2015M08</t>
  </si>
  <si>
    <t>2015M09</t>
  </si>
  <si>
    <t>2015M10</t>
  </si>
  <si>
    <r>
      <t>Ár↓    teg.↓   E</t>
    </r>
    <r>
      <rPr>
        <sz val="10"/>
        <rFont val="Arial"/>
        <family val="2"/>
      </rPr>
      <t>.→</t>
    </r>
  </si>
  <si>
    <t>Fjöldi skipa</t>
  </si>
  <si>
    <t>Skipakomur</t>
  </si>
  <si>
    <t>Losun</t>
  </si>
  <si>
    <r>
      <rPr>
        <sz val="11"/>
        <rFont val="Arial"/>
        <family val="2"/>
      </rPr>
      <t>Σ</t>
    </r>
    <r>
      <rPr>
        <sz val="10"/>
        <rFont val="Arial"/>
        <family val="2"/>
      </rPr>
      <t xml:space="preserve"> </t>
    </r>
  </si>
  <si>
    <t>2015M11</t>
  </si>
  <si>
    <t>Losun (tonn)</t>
  </si>
  <si>
    <t>2015M12</t>
  </si>
  <si>
    <t>Þurrflutningaskip</t>
  </si>
  <si>
    <t>2016M01</t>
  </si>
  <si>
    <t>Gámaskip</t>
  </si>
  <si>
    <t>2016M02</t>
  </si>
  <si>
    <t>Almenn flutningaskip</t>
  </si>
  <si>
    <t>2016M03</t>
  </si>
  <si>
    <t>Tankskip</t>
  </si>
  <si>
    <t>2016M04</t>
  </si>
  <si>
    <t>Flutningaskip</t>
  </si>
  <si>
    <t>2016M05</t>
  </si>
  <si>
    <t>RoRo og ferjur</t>
  </si>
  <si>
    <t>Skemmtiferðaskip</t>
  </si>
  <si>
    <t>2016M06</t>
  </si>
  <si>
    <t>2016M07</t>
  </si>
  <si>
    <t>Farþegaskip</t>
  </si>
  <si>
    <t>http://www.faxafloahafnir.is/cruiseships/index.php?pid=1&amp;w=v</t>
  </si>
  <si>
    <t>2016M08</t>
  </si>
  <si>
    <t>Flutninga- og farþegaskip</t>
  </si>
  <si>
    <t>fj. Ferða</t>
  </si>
  <si>
    <t>fj. Skipa</t>
  </si>
  <si>
    <t>GRT</t>
  </si>
  <si>
    <t>Farþegar</t>
  </si>
  <si>
    <t>Cap</t>
  </si>
  <si>
    <t>Load</t>
  </si>
  <si>
    <t>Áhöfn</t>
  </si>
  <si>
    <t>Farþegar og áhöfn</t>
  </si>
  <si>
    <t>Skip</t>
  </si>
  <si>
    <t>2016M09</t>
  </si>
  <si>
    <t>2016M10</t>
  </si>
  <si>
    <t>Hvalaskoðunarskip</t>
  </si>
  <si>
    <t>2016M11</t>
  </si>
  <si>
    <t>Önnur skip</t>
  </si>
  <si>
    <t>2016M12</t>
  </si>
  <si>
    <t>2017M01</t>
  </si>
  <si>
    <t>2017M02</t>
  </si>
  <si>
    <t>2017M03</t>
  </si>
  <si>
    <t>2017M04</t>
  </si>
  <si>
    <t>?</t>
  </si>
  <si>
    <t>2017M05</t>
  </si>
  <si>
    <t>2017M06</t>
  </si>
  <si>
    <t>2017M07</t>
  </si>
  <si>
    <t>2017M08</t>
  </si>
  <si>
    <t>2017M09</t>
  </si>
  <si>
    <t>Breytingar á milli ára</t>
  </si>
  <si>
    <t>2017M10</t>
  </si>
  <si>
    <t>2017M11</t>
  </si>
  <si>
    <t>Farþega- og flutningaskip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</si>
  <si>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</si>
  <si>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</si>
  <si>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</si>
  <si>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</si>
  <si>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</si>
  <si>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</si>
  <si>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</si>
  <si>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</si>
  <si>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</si>
  <si>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</si>
  <si>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</si>
  <si>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</si>
  <si>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</si>
  <si>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</si>
  <si>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</si>
  <si>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</si>
  <si>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Milli áranna 2018 og 2019</t>
  </si>
  <si>
    <t>2019M04</t>
  </si>
  <si>
    <t>2019M05</t>
  </si>
  <si>
    <t>2019M06</t>
  </si>
  <si>
    <t>2019M07</t>
  </si>
  <si>
    <t>2019M08</t>
  </si>
  <si>
    <t>2019M09</t>
  </si>
  <si>
    <t>Af því gámar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</si>
  <si>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</si>
  <si>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</si>
  <si>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</si>
  <si>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</si>
  <si>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</si>
  <si>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</si>
  <si>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</si>
  <si>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</si>
  <si>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</si>
  <si>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</si>
  <si>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</si>
  <si>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58.235,02020M0855.303,6</t>
  </si>
  <si>
    <t>e</t>
  </si>
  <si>
    <t>Reykjavíkurflugvöllur</t>
  </si>
  <si>
    <t>Reykjavíkurflugvöllur  -  Hreyfingar</t>
  </si>
  <si>
    <t>IMPLIED EMISSION FACTORS</t>
  </si>
  <si>
    <t>Energy content</t>
  </si>
  <si>
    <t>Emission factor</t>
  </si>
  <si>
    <t>Hreyfingar</t>
  </si>
  <si>
    <t>Cargo</t>
  </si>
  <si>
    <t>Yfirflug</t>
  </si>
  <si>
    <r>
      <t xml:space="preserve"> CO</t>
    </r>
    <r>
      <rPr>
        <b/>
        <vertAlign val="subscript"/>
        <sz val="9"/>
        <rFont val="Times New Roman"/>
        <family val="1"/>
      </rPr>
      <t>2</t>
    </r>
  </si>
  <si>
    <r>
      <t>CH</t>
    </r>
    <r>
      <rPr>
        <b/>
        <vertAlign val="subscript"/>
        <sz val="9"/>
        <rFont val="Times New Roman"/>
        <family val="1"/>
      </rPr>
      <t>4</t>
    </r>
  </si>
  <si>
    <r>
      <t>N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O</t>
    </r>
  </si>
  <si>
    <t>(kg/LTO)</t>
  </si>
  <si>
    <t>t CO2-íg</t>
  </si>
  <si>
    <t>(t/TJ)</t>
  </si>
  <si>
    <t>(kg/TJ)</t>
  </si>
  <si>
    <t>(MJ/kg)</t>
  </si>
  <si>
    <t>(kg CO2/kg)</t>
  </si>
  <si>
    <t>Áætlunar/leiguflug</t>
  </si>
  <si>
    <t>a.  Domestic aviation</t>
  </si>
  <si>
    <t/>
  </si>
  <si>
    <t>Annað flug</t>
  </si>
  <si>
    <t>Aviation gasoline</t>
  </si>
  <si>
    <t>Snertilendingar</t>
  </si>
  <si>
    <t>Jet kerosene</t>
  </si>
  <si>
    <t>Samtals innanlands</t>
  </si>
  <si>
    <t>Biomass</t>
  </si>
  <si>
    <t>NO</t>
  </si>
  <si>
    <t>kg/LTO</t>
  </si>
  <si>
    <t>Samtals milli landa</t>
  </si>
  <si>
    <t>LTO</t>
  </si>
  <si>
    <t>Milli áranna 2019 og 2020</t>
  </si>
  <si>
    <t>kg tot</t>
  </si>
  <si>
    <t>TJ tot</t>
  </si>
  <si>
    <t>Kef apr 2019-20</t>
  </si>
  <si>
    <t>Álfsnes</t>
  </si>
  <si>
    <t>Baggar</t>
  </si>
  <si>
    <t>Urðað</t>
  </si>
  <si>
    <t>Magn urðað (tonn)</t>
  </si>
  <si>
    <t>Baggaður úrgangur í Álfsnes</t>
  </si>
  <si>
    <t>Tímabil</t>
  </si>
  <si>
    <t>2021</t>
  </si>
  <si>
    <t>2020</t>
  </si>
  <si>
    <t>2019</t>
  </si>
  <si>
    <t>2018</t>
  </si>
  <si>
    <t>2017</t>
  </si>
  <si>
    <t>2016</t>
  </si>
  <si>
    <t>CH4 (tonn)</t>
  </si>
  <si>
    <t>Sorphirða sveitarfélög</t>
  </si>
  <si>
    <t>CH4 fangað (tonn)</t>
  </si>
  <si>
    <t>Mánuður</t>
  </si>
  <si>
    <t>Magn í tonnum</t>
  </si>
  <si>
    <t>Magn í tonnum (síðasta ár)</t>
  </si>
  <si>
    <t>Gámafyrirtæki</t>
  </si>
  <si>
    <t>CO2 (tonn)</t>
  </si>
  <si>
    <t>Önnur fyrirtæki</t>
  </si>
  <si>
    <t>CO2 ígildi (tonn)</t>
  </si>
  <si>
    <t>Gámaplön</t>
  </si>
  <si>
    <t>Magn jarðgert (tonn)</t>
  </si>
  <si>
    <t>Grenndarstöðvar</t>
  </si>
  <si>
    <t>Ómeðhöndlað (brennsla, endurvinnsla, urðun)</t>
  </si>
  <si>
    <t>Samtals móttekið (kg)</t>
  </si>
  <si>
    <t>Frákeyrt í urðun</t>
  </si>
  <si>
    <t>Frákeyrt í endurvinnslu</t>
  </si>
  <si>
    <t>Botnaska til urðunar</t>
  </si>
  <si>
    <t>Samtals (kg)</t>
  </si>
  <si>
    <t>Upprunið í RVK</t>
  </si>
  <si>
    <t>Losun (tonn CO2 íg)</t>
  </si>
  <si>
    <t>kg/t</t>
  </si>
  <si>
    <t>5,665,840</t>
  </si>
  <si>
    <t>5,206,990</t>
  </si>
  <si>
    <t>5,071,450</t>
  </si>
  <si>
    <t>5,491,917</t>
  </si>
  <si>
    <t>6,024,555</t>
  </si>
  <si>
    <t>5,817,095</t>
  </si>
  <si>
    <t>1,953,397</t>
  </si>
  <si>
    <t>2,038,243</t>
  </si>
  <si>
    <t>2,164,068</t>
  </si>
  <si>
    <t>5,792,899</t>
  </si>
  <si>
    <t>5,062,161</t>
  </si>
  <si>
    <t>5,479,655</t>
  </si>
  <si>
    <t>20,100,253</t>
  </si>
  <si>
    <t>18,904,053</t>
  </si>
  <si>
    <t>18,331,949</t>
  </si>
  <si>
    <t>18,532,268</t>
  </si>
  <si>
    <t>11,023,463</t>
  </si>
  <si>
    <t>11,479,101</t>
  </si>
  <si>
    <t>11,529,789</t>
  </si>
  <si>
    <t>4,030,708</t>
  </si>
  <si>
    <t>4,817,544</t>
  </si>
  <si>
    <t>4,979,817</t>
  </si>
  <si>
    <t>3,849,882</t>
  </si>
  <si>
    <t>2,035,304</t>
  </si>
  <si>
    <t>2,022,662</t>
  </si>
  <si>
    <t>2017-18</t>
  </si>
  <si>
    <t>2018-19</t>
  </si>
  <si>
    <t>2019-20</t>
  </si>
  <si>
    <t>C/PE (2017)</t>
  </si>
  <si>
    <t>C/PE (2018)</t>
  </si>
  <si>
    <t>Mannfjöldi RVK</t>
  </si>
  <si>
    <t>Mannfjöldi stór RVK</t>
  </si>
  <si>
    <t>TOW (t BOD/y)</t>
  </si>
  <si>
    <t>B0</t>
  </si>
  <si>
    <t>kg CH4/kg BOD</t>
  </si>
  <si>
    <t>Protein consumption (kg/person/y)</t>
  </si>
  <si>
    <t>MCF</t>
  </si>
  <si>
    <t>EF</t>
  </si>
  <si>
    <t>Sludge removed</t>
  </si>
  <si>
    <t>CO2 íg</t>
  </si>
  <si>
    <t>Heildarmagn</t>
  </si>
  <si>
    <t>Verkaður fiskur</t>
  </si>
  <si>
    <t>m3/t</t>
  </si>
  <si>
    <t>Þar af í Reyjavík</t>
  </si>
  <si>
    <t>kg COD/m3</t>
  </si>
  <si>
    <t>t COD</t>
  </si>
  <si>
    <t>Losun CO2 íg</t>
  </si>
  <si>
    <t>Heildarfjöldi</t>
  </si>
  <si>
    <t>Fjöldi RVK</t>
  </si>
  <si>
    <t>Losun (CO2 íg)</t>
  </si>
  <si>
    <t>Fjöldi dýra</t>
  </si>
  <si>
    <t>Melting</t>
  </si>
  <si>
    <t>Geymsla</t>
  </si>
  <si>
    <t>Ær</t>
  </si>
  <si>
    <t>Table3.As1</t>
  </si>
  <si>
    <t>Tegund</t>
  </si>
  <si>
    <t>NEX</t>
  </si>
  <si>
    <t>Vot</t>
  </si>
  <si>
    <t>Þurr</t>
  </si>
  <si>
    <t>Hagi</t>
  </si>
  <si>
    <t>NEX-umbreytt</t>
  </si>
  <si>
    <t>Hrútar og sauðir</t>
  </si>
  <si>
    <t>Table3.B(a)s1</t>
  </si>
  <si>
    <t>Ásetningslömb</t>
  </si>
  <si>
    <t>Table3.B(b)</t>
  </si>
  <si>
    <t>Sláturlömb</t>
  </si>
  <si>
    <t>Sauðfé alls</t>
  </si>
  <si>
    <t>Kýr</t>
  </si>
  <si>
    <t>Geldneyti</t>
  </si>
  <si>
    <t>Mjólkurkýr</t>
  </si>
  <si>
    <t>Kálfar</t>
  </si>
  <si>
    <t>Naut</t>
  </si>
  <si>
    <t>Nautgripir alls</t>
  </si>
  <si>
    <t>Geltir</t>
  </si>
  <si>
    <t>Gyltur</t>
  </si>
  <si>
    <t>Grísir</t>
  </si>
  <si>
    <t>Svín alls</t>
  </si>
  <si>
    <t>Hross</t>
  </si>
  <si>
    <t>Geitur</t>
  </si>
  <si>
    <t>Alifuglar</t>
  </si>
  <si>
    <t>Hænur</t>
  </si>
  <si>
    <t>AK2018</t>
  </si>
  <si>
    <t>Metan</t>
  </si>
  <si>
    <t>Fjöldi</t>
  </si>
  <si>
    <t>Hlutfall sauðfé</t>
  </si>
  <si>
    <t>Hlutfall nautgripa</t>
  </si>
  <si>
    <t>Án mjólkurkúa</t>
  </si>
  <si>
    <t>Hlutfall svín</t>
  </si>
  <si>
    <t>RVK2019</t>
  </si>
  <si>
    <t>2013 - alls</t>
  </si>
  <si>
    <t>2013 - rvk</t>
  </si>
  <si>
    <t>rvk - hlutfall</t>
  </si>
  <si>
    <t>2019 - alls</t>
  </si>
  <si>
    <t>Losun vegna meðferðar og geymslu mykju</t>
  </si>
  <si>
    <t>Aðrir nautgripir</t>
  </si>
  <si>
    <t>Sauðfé</t>
  </si>
  <si>
    <t>Nautgripir</t>
  </si>
  <si>
    <t>Mjólkandi kýr</t>
  </si>
  <si>
    <t>Hestar</t>
  </si>
  <si>
    <t>Aðrir fullorðnir</t>
  </si>
  <si>
    <t>Ungneyti</t>
  </si>
  <si>
    <t>Svín</t>
  </si>
  <si>
    <t>Varphænur</t>
  </si>
  <si>
    <t>Losun (tCO2 ígilda)</t>
  </si>
  <si>
    <t>Binding í nýlegri skógrækt</t>
  </si>
  <si>
    <t>Dreifitöp raforku sett í umfang 3</t>
  </si>
  <si>
    <t>Stuðlar heitavatns frá Veitum notað (á m3 í stað á kWh)</t>
  </si>
  <si>
    <t>Nýtt samgöngulíkan innleitt</t>
  </si>
  <si>
    <t>Nýjir eldsneytisnotkunarstuðlar nýttir - eldsneytisspá</t>
  </si>
  <si>
    <t>Reikningar fráveitu breyttir til að vera í samræmi við NIR - fiskvinnsla bætt við</t>
  </si>
  <si>
    <t>Kælimiðlar í fiskveiði dregnir frá</t>
  </si>
  <si>
    <t>Jarðgerð bætt við vegna GAJA</t>
  </si>
  <si>
    <t>Betri sundurliðun skipakoma og losunar</t>
  </si>
  <si>
    <t>Betri tölur búfjár miða við mælaborð landbúnaðarins</t>
  </si>
  <si>
    <t>Losun vegna bygginga leiðrétt miðað við LCA skýrslu</t>
  </si>
  <si>
    <t xml:space="preserve">https://www.ust.is/library/sida/Loft/Losunarstudlar_UST_5.0.2.pdf </t>
  </si>
  <si>
    <t>Bjarni Reyr Kristjánsson og Sigrún Tómasdóttir. (2023). Hitaveita í Reykjavík – Vatnsvinnsla 2022. Reykjavík: Veitur / Orkuveita Reykjavíkur.</t>
  </si>
  <si>
    <t>úr ársskýrslu 2023</t>
  </si>
  <si>
    <t>2015</t>
  </si>
  <si>
    <t>2022</t>
  </si>
  <si>
    <t>2023</t>
  </si>
  <si>
    <t>Annað land</t>
  </si>
  <si>
    <t>Graslendi</t>
  </si>
  <si>
    <t>Votlendi</t>
  </si>
  <si>
    <t>Ár og vötn</t>
  </si>
  <si>
    <t>Byggð 2022</t>
  </si>
  <si>
    <t>Skógrækt fyrir 1990</t>
  </si>
  <si>
    <t>Náttúrulegur birkiskógur</t>
  </si>
  <si>
    <t>Birkikjarr</t>
  </si>
  <si>
    <t>Virkjanalón</t>
  </si>
  <si>
    <t>Uppgræðsla 1990-2022</t>
  </si>
  <si>
    <t>Graslendi á framræstum jarðvegi</t>
  </si>
  <si>
    <t>Ræktað land</t>
  </si>
  <si>
    <t>Ræktað land óvirkt</t>
  </si>
  <si>
    <t>Loaunarstuðlar(tCO2/ha)</t>
  </si>
  <si>
    <t>Stærð landsvæðis(ha)</t>
  </si>
  <si>
    <t>Áætluðlosun(tCO2íg)</t>
  </si>
  <si>
    <t>og</t>
  </si>
  <si>
    <t>Reykjavíkurborg=27361ha</t>
  </si>
  <si>
    <t>Byggð-vegir 2022</t>
  </si>
  <si>
    <t>Skógrækt 1990-2022</t>
  </si>
  <si>
    <t>Orkugjafi/ökutækafl.</t>
  </si>
  <si>
    <t>Bensín /Metan</t>
  </si>
  <si>
    <t>Bensín /Raf.tengill</t>
  </si>
  <si>
    <t>Bensín /Rafmagn</t>
  </si>
  <si>
    <t>Dísel /Metan</t>
  </si>
  <si>
    <t>Dísel /Raf.tengill</t>
  </si>
  <si>
    <t>Dísel /Rafmagn</t>
  </si>
  <si>
    <t>Etanol</t>
  </si>
  <si>
    <t>Metanól /Bensín</t>
  </si>
  <si>
    <t>Óskráð</t>
  </si>
  <si>
    <t>Vetni /Rafmagn</t>
  </si>
  <si>
    <t>https://px.hagstofa.is/pxis/pxweb/is/Ibuar/Ibuar__mannfjoldi__2_byggdir__sveitarfelog/MAN02001.px/table/tableViewLayout2/</t>
  </si>
  <si>
    <t>Mannfjoldi:</t>
  </si>
  <si>
    <t>Getur ekki verið rétt, er meira en á hbs</t>
  </si>
  <si>
    <t>Mannfjöldi eftir kyni, aldri og sveitarfélögum 1998-2024 - Sveitarfélagaskipan 1. janúar 2024</t>
  </si>
  <si>
    <t>2014</t>
  </si>
  <si>
    <t>2024</t>
  </si>
  <si>
    <t>Heildarlosun Íslands 1990-2022</t>
  </si>
  <si>
    <t>Iðnaðarferlar og vörunotkun</t>
  </si>
  <si>
    <t>207.48</t>
  </si>
  <si>
    <t>694.21</t>
  </si>
  <si>
    <t>1840.5</t>
  </si>
  <si>
    <t>902.66</t>
  </si>
  <si>
    <t>7731.98</t>
  </si>
  <si>
    <t>212.03</t>
  </si>
  <si>
    <t>675.18</t>
  </si>
  <si>
    <t>790.99</t>
  </si>
  <si>
    <t>7739.4</t>
  </si>
  <si>
    <t>225.59</t>
  </si>
  <si>
    <t>653.61</t>
  </si>
  <si>
    <t>585.01</t>
  </si>
  <si>
    <t>7729.42</t>
  </si>
  <si>
    <t>236.41</t>
  </si>
  <si>
    <t>654.62</t>
  </si>
  <si>
    <t>2003.84</t>
  </si>
  <si>
    <t>551.64</t>
  </si>
  <si>
    <t>7738.69</t>
  </si>
  <si>
    <t>244.83</t>
  </si>
  <si>
    <t>657.93</t>
  </si>
  <si>
    <t>1952.74</t>
  </si>
  <si>
    <t>520.89</t>
  </si>
  <si>
    <t>7728.9</t>
  </si>
  <si>
    <t>255.42</t>
  </si>
  <si>
    <t>637.98</t>
  </si>
  <si>
    <t>2057.53</t>
  </si>
  <si>
    <t>553.03</t>
  </si>
  <si>
    <t>7714.98</t>
  </si>
  <si>
    <t>264.77</t>
  </si>
  <si>
    <t>650.8</t>
  </si>
  <si>
    <t>2113.01</t>
  </si>
  <si>
    <t>530.11</t>
  </si>
  <si>
    <t>7708.21</t>
  </si>
  <si>
    <t>272.27</t>
  </si>
  <si>
    <t>641.52</t>
  </si>
  <si>
    <t>2152.86</t>
  </si>
  <si>
    <t>649.01</t>
  </si>
  <si>
    <t>7703.51</t>
  </si>
  <si>
    <t>275.06</t>
  </si>
  <si>
    <t>2146.5</t>
  </si>
  <si>
    <t>785.21</t>
  </si>
  <si>
    <t>7704.97</t>
  </si>
  <si>
    <t>283.13</t>
  </si>
  <si>
    <t>652.03</t>
  </si>
  <si>
    <t>2202.98</t>
  </si>
  <si>
    <t>938.98</t>
  </si>
  <si>
    <t>7711.63</t>
  </si>
  <si>
    <t>292.51</t>
  </si>
  <si>
    <t>637.26</t>
  </si>
  <si>
    <t>2185.17</t>
  </si>
  <si>
    <t>991.77</t>
  </si>
  <si>
    <t>7722.9</t>
  </si>
  <si>
    <t>302.15</t>
  </si>
  <si>
    <t>633.74</t>
  </si>
  <si>
    <t>2073.84</t>
  </si>
  <si>
    <t>990.98</t>
  </si>
  <si>
    <t>7732.75</t>
  </si>
  <si>
    <t>306.71</t>
  </si>
  <si>
    <t>617.17</t>
  </si>
  <si>
    <t>2183.75</t>
  </si>
  <si>
    <t>978.94</t>
  </si>
  <si>
    <t>7750.46</t>
  </si>
  <si>
    <t>307.82</t>
  </si>
  <si>
    <t>609.41</t>
  </si>
  <si>
    <t>2172.67</t>
  </si>
  <si>
    <t>966.74</t>
  </si>
  <si>
    <t>7746.78</t>
  </si>
  <si>
    <t>316.83</t>
  </si>
  <si>
    <t>601.39</t>
  </si>
  <si>
    <t>2271.55</t>
  </si>
  <si>
    <t>974.79</t>
  </si>
  <si>
    <t>7746.2</t>
  </si>
  <si>
    <t>309.54</t>
  </si>
  <si>
    <t>603.84</t>
  </si>
  <si>
    <t>2158.47</t>
  </si>
  <si>
    <t>950.49</t>
  </si>
  <si>
    <t>7745.98</t>
  </si>
  <si>
    <t>333.14</t>
  </si>
  <si>
    <t>629.88</t>
  </si>
  <si>
    <t>2221.71</t>
  </si>
  <si>
    <t>1394.39</t>
  </si>
  <si>
    <t>7798.54</t>
  </si>
  <si>
    <t>336.6</t>
  </si>
  <si>
    <t>646.68</t>
  </si>
  <si>
    <t>1538.47</t>
  </si>
  <si>
    <t>7700.27</t>
  </si>
  <si>
    <t>319.08</t>
  </si>
  <si>
    <t>663.15</t>
  </si>
  <si>
    <t>2234.88</t>
  </si>
  <si>
    <t>2049.92</t>
  </si>
  <si>
    <t>7741.91</t>
  </si>
  <si>
    <t>309.25</t>
  </si>
  <si>
    <t>653.49</t>
  </si>
  <si>
    <t>1866.99</t>
  </si>
  <si>
    <t>7785.76</t>
  </si>
  <si>
    <t>305.68</t>
  </si>
  <si>
    <t>639.63</t>
  </si>
  <si>
    <t>2026.7</t>
  </si>
  <si>
    <t>1895.6</t>
  </si>
  <si>
    <t>7767.35</t>
  </si>
  <si>
    <t>286.54</t>
  </si>
  <si>
    <t>637.69</t>
  </si>
  <si>
    <t>1905.05</t>
  </si>
  <si>
    <t>1825.95</t>
  </si>
  <si>
    <t>7747.26</t>
  </si>
  <si>
    <t>266.23</t>
  </si>
  <si>
    <t>632.57</t>
  </si>
  <si>
    <t>1855.89</t>
  </si>
  <si>
    <t>1894.11</t>
  </si>
  <si>
    <t>7753.28</t>
  </si>
  <si>
    <t>265.53</t>
  </si>
  <si>
    <t>616.94</t>
  </si>
  <si>
    <t>1820.52</t>
  </si>
  <si>
    <t>1942.48</t>
  </si>
  <si>
    <t>7753.79</t>
  </si>
  <si>
    <t>265.57</t>
  </si>
  <si>
    <t>661.09</t>
  </si>
  <si>
    <t>1808.91</t>
  </si>
  <si>
    <t>1917.11</t>
  </si>
  <si>
    <t>7748.01</t>
  </si>
  <si>
    <t>264.57</t>
  </si>
  <si>
    <t>650.33</t>
  </si>
  <si>
    <t>1853.75</t>
  </si>
  <si>
    <t>1965.74</t>
  </si>
  <si>
    <t>7739.22</t>
  </si>
  <si>
    <t>260.83</t>
  </si>
  <si>
    <t>650.24</t>
  </si>
  <si>
    <t>1829.01</t>
  </si>
  <si>
    <t>1947.76</t>
  </si>
  <si>
    <t>7720.33</t>
  </si>
  <si>
    <t>258.41</t>
  </si>
  <si>
    <t>651.08</t>
  </si>
  <si>
    <t>1870.24</t>
  </si>
  <si>
    <t>1994.09</t>
  </si>
  <si>
    <t>7693.13</t>
  </si>
  <si>
    <t>253.72</t>
  </si>
  <si>
    <t>628.3</t>
  </si>
  <si>
    <t>1911.17</t>
  </si>
  <si>
    <t>2035.23</t>
  </si>
  <si>
    <t>7680.25</t>
  </si>
  <si>
    <t>222.02</t>
  </si>
  <si>
    <t>610.91</t>
  </si>
  <si>
    <t>1853.99</t>
  </si>
  <si>
    <t>2002.07</t>
  </si>
  <si>
    <t>7693.37</t>
  </si>
  <si>
    <t>244.09</t>
  </si>
  <si>
    <t>609.48</t>
  </si>
  <si>
    <t>1664.62</t>
  </si>
  <si>
    <t>1977.27</t>
  </si>
  <si>
    <t>7701.7</t>
  </si>
  <si>
    <t>242.68</t>
  </si>
  <si>
    <t>612.75</t>
  </si>
  <si>
    <t>2011.92</t>
  </si>
  <si>
    <t>7699.04</t>
  </si>
  <si>
    <t>233.6</t>
  </si>
  <si>
    <t>596.26</t>
  </si>
  <si>
    <t>1819.34</t>
  </si>
  <si>
    <t>2016.8</t>
  </si>
  <si>
    <t>7757.03</t>
  </si>
  <si>
    <t>LÍKAN 2012</t>
  </si>
  <si>
    <t>Meðalvegalengd</t>
  </si>
  <si>
    <t>km</t>
  </si>
  <si>
    <t>Meðalvegalengd (2012)</t>
  </si>
  <si>
    <t>UPPFÆRSLA 2024</t>
  </si>
  <si>
    <t>UPPFÆRSLA 2021 (Líkan 2019)</t>
  </si>
  <si>
    <t xml:space="preserve">Tegund </t>
  </si>
  <si>
    <t>Fjöldi ferða</t>
  </si>
  <si>
    <t>Vegalengd</t>
  </si>
  <si>
    <t>Einkabíll</t>
  </si>
  <si>
    <t>Sendiferðabíll</t>
  </si>
  <si>
    <t>Þung umferð</t>
  </si>
  <si>
    <t>SLH útgáfa 8.0, Skýrslu-útgáfa 4.1</t>
  </si>
  <si>
    <t>Tot</t>
  </si>
  <si>
    <t>Innan RVK</t>
  </si>
  <si>
    <t>Árdagsumferð</t>
  </si>
  <si>
    <t>Reykjavík (Póstnúmer &lt;170)</t>
  </si>
  <si>
    <t>Fjöldi bíla - lok árs 2022</t>
  </si>
  <si>
    <t>16/8/2024 - RVK</t>
  </si>
  <si>
    <t>Uppfærðir losunarstuðlar umferðar</t>
  </si>
  <si>
    <t>ton CO2e (WTW)</t>
  </si>
  <si>
    <t>ton CO2e (TTW)</t>
  </si>
  <si>
    <t>Magn sent út til brennslu</t>
  </si>
  <si>
    <t>Losun vegna brennslu erlendis</t>
  </si>
  <si>
    <t>Magntölur Kölku</t>
  </si>
  <si>
    <t>RVK</t>
  </si>
  <si>
    <t>ha</t>
  </si>
  <si>
    <t>vantar 2500 ha</t>
  </si>
  <si>
    <t>tlv í töflu</t>
  </si>
  <si>
    <t>7+10+16</t>
  </si>
  <si>
    <t>5+6</t>
  </si>
  <si>
    <t>UST</t>
  </si>
  <si>
    <t>FOD</t>
  </si>
  <si>
    <t>5A Summary of input data that feeds into IPCC FOD model calculations</t>
  </si>
  <si>
    <t>Category</t>
  </si>
  <si>
    <t>5.A.1</t>
  </si>
  <si>
    <t>5.A.2</t>
  </si>
  <si>
    <t>Sector</t>
  </si>
  <si>
    <t>Managed SWDS</t>
  </si>
  <si>
    <t>Unmanaged SWDS</t>
  </si>
  <si>
    <t>Time series</t>
  </si>
  <si>
    <t>2011-2022</t>
  </si>
  <si>
    <t>2011-2021</t>
  </si>
  <si>
    <t>Data sources</t>
  </si>
  <si>
    <t xml:space="preserve">Amount of waste going to Alfsnes landfill managed by SORPA, data provided from Gyða Sigríður Björnsdóttir &lt;gyda.bjornsdottir@sorpa.is&gt;; data from 2011-2020 at the moment. </t>
  </si>
  <si>
    <t>Last edited</t>
  </si>
  <si>
    <t>MS 27/09/2021 Updated with corrected landfill numbers 2011-2020 (excluding what is used for coverage/not landfilled) and total numbers for 1991-2010; to these numbers I then apply the 2011-2020 % of waste types</t>
  </si>
  <si>
    <t>IRH 14.3.2023</t>
  </si>
  <si>
    <t>Description</t>
  </si>
  <si>
    <t>Amount of waste going to Alfsnes landfill managed by SORPA. Request from SORPA to calculate emissions from Landfill. QC for our general model as Sorpa landfills around 2/3 of all waste landfilled in Iceland. Only managed waste.</t>
  </si>
  <si>
    <t>Not applicable for the SORPA case</t>
  </si>
  <si>
    <t>Amount of methane recovered from landfill site - ALFSNES</t>
  </si>
  <si>
    <t>Status</t>
  </si>
  <si>
    <t>Draft</t>
  </si>
  <si>
    <t>Managed - Anaerobic (kt waste)</t>
  </si>
  <si>
    <t>Recovery (kt)</t>
  </si>
  <si>
    <t>Food</t>
  </si>
  <si>
    <t>Garden</t>
  </si>
  <si>
    <t>Paper</t>
  </si>
  <si>
    <t>Wood</t>
  </si>
  <si>
    <t>Textile</t>
  </si>
  <si>
    <t>Nappies</t>
  </si>
  <si>
    <t>Sludge</t>
  </si>
  <si>
    <t>Inert</t>
  </si>
  <si>
    <t>Industrial</t>
  </si>
  <si>
    <t>Average waste amount 2011-2020</t>
  </si>
  <si>
    <t>% of each waste category</t>
  </si>
  <si>
    <t>Alfsnes opened 1991, methane recovery started in 1996</t>
  </si>
  <si>
    <t xml:space="preserve">Tot amount as communicated </t>
  </si>
  <si>
    <t>Check</t>
  </si>
  <si>
    <t>Emissions from IPCC model, CH4 (Gg)</t>
  </si>
  <si>
    <t>CO2e (Gg)</t>
  </si>
  <si>
    <t>IEF: emissions in CO2e/total amount of waste</t>
  </si>
  <si>
    <t>For comparison total amount in the overall inventory from J:\0_Emission Inventory\2022_Inventory\1_Input_Data\5_Waste\5A_Waste_IPCC_Input_1990-2020.xlsx</t>
  </si>
  <si>
    <t>% of Alfsnes to total</t>
  </si>
  <si>
    <t>IRH 9.3.2023 This can't be updated now for 2023, because we don't have total waste data for 2023 yet</t>
  </si>
  <si>
    <t>Það er eðlilegt að hlutfall losunar per kt úrgangs sé að fara hækkandi núna þegar úrgangsmagnið er að dragast saman því úrgangurinn  losar metan yfir mörg ár eftir urðun</t>
  </si>
  <si>
    <t>NOTE! CO2-eq emissions reported in AR5, i.e. Global warming potential of CH4 = 28 (In AR4 it was 25)</t>
  </si>
  <si>
    <t>Skjal "Álfsnes - Urðun" bætt við - FOD reikningar fyrir urðun</t>
  </si>
  <si>
    <t>Leið 1 (EF/TJ)</t>
  </si>
  <si>
    <t>UST (EF/L)</t>
  </si>
  <si>
    <t>UST (EF/km)</t>
  </si>
  <si>
    <t>UST stuðlar 6.0.1</t>
  </si>
  <si>
    <t>Magn jarðgert</t>
  </si>
  <si>
    <t>Brennsla úrgangs Reykjavíkur</t>
  </si>
  <si>
    <t>Metanlosun ekki tekin með</t>
  </si>
  <si>
    <t>HMS Íbúðir í byggingu</t>
  </si>
  <si>
    <t>Byggingarefni</t>
  </si>
  <si>
    <t>tCO2e/m2</t>
  </si>
  <si>
    <t xml:space="preserve">  Upprunið innan RVK</t>
  </si>
  <si>
    <t>Brennsla erlendis</t>
  </si>
  <si>
    <t>Brennsla innanlands</t>
  </si>
  <si>
    <t>Bensín/Metan</t>
  </si>
  <si>
    <t xml:space="preserve"> Með Well to tank</t>
  </si>
  <si>
    <t>Emissions Inventory</t>
  </si>
  <si>
    <r>
      <t xml:space="preserve"> </t>
    </r>
    <r>
      <rPr>
        <sz val="9"/>
        <color rgb="FF000000"/>
        <rFont val="Arial"/>
        <family val="2"/>
      </rPr>
      <t>Þar af vegna dreifitapa</t>
    </r>
  </si>
  <si>
    <t>BASIC +</t>
  </si>
  <si>
    <t>BASIC + S3</t>
  </si>
  <si>
    <t>Landfill</t>
  </si>
  <si>
    <t xml:space="preserve">  Originating within RVK</t>
  </si>
  <si>
    <t>Foreign inciniration</t>
  </si>
  <si>
    <t>Domestic inciniration</t>
  </si>
  <si>
    <t xml:space="preserve">  WTW</t>
  </si>
  <si>
    <t xml:space="preserve"> WTW</t>
  </si>
  <si>
    <t>Uppfærðir reikningar umferðarlíkans</t>
  </si>
  <si>
    <t>Uppfærð umferðardreifing miðað við Reykjavíkurborg</t>
  </si>
  <si>
    <t>Uppfærðir losunarstuðlar vegna brennslu úrgangs</t>
  </si>
  <si>
    <t>WTT skipa tekið fram</t>
  </si>
  <si>
    <t>Brennsla erlendis bætist nýtt við</t>
  </si>
  <si>
    <t>Uppfært GWP fyrir N2O og CH4 mv AR6 (2021) - breyta í urðun næst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</si>
</sst>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\ _k_r_._-;\-* #,##0\ _k_r_._-;_-* &quot;-&quot;\ _k_r_._-;_-@_-"/>
    <numFmt numFmtId="166" formatCode="_-* #,##0\ _I_S_K_-;\-* #,##0\ _I_S_K_-;_-* &quot;-&quot;\ _I_S_K_-;_-@_-"/>
    <numFmt numFmtId="167" formatCode="_(* #,##0_);_(* \(#,##0\);_(* &quot;-&quot;??_);_(@_)"/>
    <numFmt numFmtId="168" formatCode="0.0%"/>
    <numFmt numFmtId="169" formatCode="#,##0.0"/>
    <numFmt numFmtId="170" formatCode="0.0"/>
    <numFmt numFmtId="171" formatCode="0.000%"/>
    <numFmt numFmtId="172" formatCode="_(* #,##0.000_);_(* \(#,##0.000\);_(* &quot;-&quot;??_);_(@_)"/>
    <numFmt numFmtId="173" formatCode="#,##0.000"/>
    <numFmt numFmtId="174" formatCode="m/d/yy;@"/>
    <numFmt numFmtId="175" formatCode="#,##0_ ;[Red]\-#,##0\ "/>
    <numFmt numFmtId="176" formatCode="#,##0.0_ ;[Red]\-#,##0.0\ "/>
    <numFmt numFmtId="177" formatCode="0.000"/>
    <numFmt numFmtId="178" formatCode="#,##0,000"/>
    <numFmt numFmtId="179" formatCode="0.00000"/>
    <numFmt numFmtId="180" formatCode="0.0000"/>
    <numFmt numFmtId="181" formatCode="_(* #,##0.00000_);_(* \(#,##0.00000\);_(* &quot;-&quot;??_);_(@_)"/>
    <numFmt numFmtId="182" formatCode="#,##0.0000"/>
    <numFmt numFmtId="183" formatCode="0.0000000"/>
    <numFmt numFmtId="184" formatCode="_-* #,##0.00\ _F_-;\-* #,##0.00\ _F_-;_-* &quot;-&quot;??\ _F_-;_-@_-"/>
    <numFmt numFmtId="185" formatCode="0.0%;\(0.0%\)"/>
    <numFmt numFmtId="186" formatCode="0%;\(0%\)"/>
    <numFmt numFmtId="187" formatCode="#,##0_);\(#,##0_)"/>
    <numFmt numFmtId="188" formatCode="_-* #,##0.0\ _k_r_-;\-* #,##0.0\ _k_r_-;_-* &quot;-&quot;?\ _k_r_-;_-@_-"/>
    <numFmt numFmtId="189" formatCode="_(* #,##0.0000_);_(* \(#,##0.0000\);_(* &quot;-&quot;??_);_(@_)"/>
  </numFmts>
  <fonts count="177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9"/>
      <color rgb="FF000000"/>
      <name val="Calibri"/>
      <family val="2"/>
    </font>
    <font>
      <b/>
      <sz val="9"/>
      <color rgb="FFFFFFFF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8"/>
      <color rgb="FF00394C"/>
      <name val="Calibri"/>
      <family val="2"/>
    </font>
    <font>
      <b/>
      <sz val="9"/>
      <color rgb="FF000000"/>
      <name val="Calibri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9"/>
      <name val="Calibri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1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9"/>
      <color rgb="FF000000"/>
      <name val="Arial"/>
      <family val="2"/>
    </font>
    <font>
      <i/>
      <sz val="8"/>
      <color theme="1"/>
      <name val="Arial"/>
      <family val="2"/>
      <scheme val="minor"/>
    </font>
    <font>
      <sz val="13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8.8000000000000007"/>
      <color rgb="FFFFFFFF"/>
      <name val="Arial"/>
      <family val="2"/>
    </font>
    <font>
      <b/>
      <sz val="10"/>
      <name val="Arial"/>
      <family val="2"/>
    </font>
    <font>
      <b/>
      <sz val="8.8000000000000007"/>
      <color rgb="FF303030"/>
      <name val="Arial"/>
      <family val="2"/>
    </font>
    <font>
      <sz val="9.9"/>
      <color rgb="FF303030"/>
      <name val="Georgia"/>
      <family val="1"/>
    </font>
    <font>
      <sz val="11"/>
      <name val="Arial"/>
      <family val="2"/>
    </font>
    <font>
      <sz val="14"/>
      <name val="Arial"/>
      <family val="2"/>
    </font>
    <font>
      <sz val="12"/>
      <color theme="1"/>
      <name val="Arial"/>
      <family val="2"/>
      <scheme val="minor"/>
    </font>
    <font>
      <sz val="12"/>
      <color rgb="FF000000"/>
      <name val="Calibri"/>
      <family val="2"/>
    </font>
    <font>
      <sz val="13.5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sz val="10"/>
      <color rgb="FF1F497D"/>
      <name val="Arial"/>
      <family val="2"/>
    </font>
    <font>
      <b/>
      <i/>
      <sz val="10"/>
      <name val="Arial"/>
      <family val="2"/>
    </font>
    <font>
      <vertAlign val="subscript"/>
      <sz val="10"/>
      <name val="Arial"/>
      <family val="2"/>
    </font>
    <font>
      <b/>
      <i/>
      <sz val="10"/>
      <color rgb="FF538DD5"/>
      <name val="Arial"/>
      <family val="2"/>
    </font>
    <font>
      <b/>
      <sz val="20"/>
      <color rgb="FFFF0000"/>
      <name val="Arial"/>
      <family val="2"/>
    </font>
    <font>
      <b/>
      <sz val="11"/>
      <color rgb="FF000000"/>
      <name val="Calibri"/>
      <family val="2"/>
    </font>
    <font>
      <b/>
      <u/>
      <sz val="14"/>
      <color rgb="FF000000"/>
      <name val="Arial"/>
      <family val="2"/>
    </font>
    <font>
      <b/>
      <u/>
      <sz val="12"/>
      <color theme="1"/>
      <name val="Arial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b/>
      <vertAlign val="subscript"/>
      <sz val="9"/>
      <name val="Times New Roman"/>
      <family val="1"/>
    </font>
    <font>
      <sz val="10"/>
      <name val="Arial"/>
      <family val="2"/>
    </font>
    <font>
      <i/>
      <sz val="10"/>
      <color theme="3"/>
      <name val="Arial"/>
      <family val="2"/>
    </font>
    <font>
      <b/>
      <i/>
      <sz val="10"/>
      <color theme="3" tint="0.39997558519241921"/>
      <name val="Arial"/>
      <family val="2"/>
    </font>
    <font>
      <b/>
      <i/>
      <sz val="18"/>
      <color rgb="FFFF0000"/>
      <name val="Arial"/>
      <family val="2"/>
    </font>
    <font>
      <sz val="10"/>
      <color rgb="FFFFCC99"/>
      <name val="Arial"/>
      <family val="2"/>
    </font>
    <font>
      <i/>
      <sz val="10"/>
      <color rgb="FFFF0000"/>
      <name val="Arial"/>
      <family val="2"/>
    </font>
    <font>
      <sz val="10"/>
      <color rgb="FFF7FC28"/>
      <name val="Arial"/>
      <family val="2"/>
    </font>
    <font>
      <i/>
      <sz val="10"/>
      <color rgb="FFF7FC28"/>
      <name val="Arial"/>
      <family val="2"/>
    </font>
    <font>
      <b/>
      <sz val="8"/>
      <color rgb="FFFFFFFF"/>
      <name val="Arial"/>
      <family val="2"/>
    </font>
    <font>
      <sz val="9"/>
      <color rgb="FF303030"/>
      <name val="Georgia"/>
      <family val="1"/>
    </font>
    <font>
      <b/>
      <sz val="8"/>
      <color rgb="FF303030"/>
      <name val="Arial"/>
      <family val="2"/>
    </font>
    <font>
      <b/>
      <sz val="14"/>
      <color theme="0"/>
      <name val="Arial"/>
      <family val="2"/>
    </font>
    <font>
      <b/>
      <u/>
      <sz val="18"/>
      <color theme="1"/>
      <name val="Arial"/>
      <family val="2"/>
      <scheme val="minor"/>
    </font>
    <font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2"/>
      <color rgb="FF000000"/>
      <name val="Arial"/>
      <family val="2"/>
    </font>
    <font>
      <b/>
      <u/>
      <sz val="16"/>
      <color rgb="FF00000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theme="0"/>
      <name val="Arial"/>
      <family val="2"/>
      <scheme val="minor"/>
    </font>
    <font>
      <sz val="8"/>
      <color rgb="FF000070"/>
      <name val="Work Sans"/>
    </font>
    <font>
      <sz val="9"/>
      <color rgb="FF000025"/>
      <name val="Work Sans"/>
    </font>
    <font>
      <sz val="8"/>
      <color theme="0"/>
      <name val="Work Sans"/>
    </font>
    <font>
      <b/>
      <sz val="12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Times New Roman"/>
      <family val="1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</font>
    <font>
      <sz val="11"/>
      <color indexed="9"/>
      <name val="Calibri"/>
      <family val="2"/>
      <charset val="186"/>
    </font>
    <font>
      <b/>
      <sz val="11"/>
      <color indexed="63"/>
      <name val="Calibri"/>
      <family val="2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8"/>
      <name val="Helvetica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20"/>
      <name val="Calibri"/>
      <family val="2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  <charset val="186"/>
    </font>
    <font>
      <b/>
      <sz val="11"/>
      <color indexed="9"/>
      <name val="Calibri"/>
      <family val="2"/>
    </font>
    <font>
      <u/>
      <sz val="10"/>
      <color indexed="12"/>
      <name val="Times New Roman"/>
      <family val="1"/>
      <charset val="186"/>
    </font>
    <font>
      <sz val="10"/>
      <name val="Arial"/>
      <family val="2"/>
      <charset val="204"/>
    </font>
    <font>
      <b/>
      <sz val="11"/>
      <color indexed="12"/>
      <name val="Arial"/>
      <family val="2"/>
      <charset val="204"/>
    </font>
    <font>
      <sz val="8"/>
      <name val="Helvetica"/>
      <family val="2"/>
    </font>
    <font>
      <b/>
      <sz val="9"/>
      <color rgb="FFFFFFFF"/>
      <name val="Work Sans"/>
    </font>
    <font>
      <sz val="9"/>
      <color rgb="FFFF0000"/>
      <name val="Work Sans"/>
    </font>
    <font>
      <b/>
      <sz val="10"/>
      <color rgb="FFFF0000"/>
      <name val="Arial"/>
      <family val="2"/>
    </font>
    <font>
      <sz val="10"/>
      <color rgb="FFFE2906"/>
      <name val="Arial"/>
      <family val="2"/>
    </font>
    <font>
      <sz val="9"/>
      <color rgb="FFFF0000"/>
      <name val="Calibri"/>
      <family val="2"/>
    </font>
    <font>
      <b/>
      <u/>
      <vertAlign val="subscript"/>
      <sz val="12"/>
      <color theme="1"/>
      <name val="Arial"/>
      <family val="2"/>
      <scheme val="minor"/>
    </font>
    <font>
      <vertAlign val="subscript"/>
      <sz val="12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u/>
      <sz val="10"/>
      <color theme="10"/>
      <name val="Arial"/>
      <family val="2"/>
    </font>
    <font>
      <b/>
      <sz val="10"/>
      <color rgb="FFFFFFFF"/>
      <name val="Work Sans"/>
    </font>
    <font>
      <b/>
      <sz val="9"/>
      <color rgb="FF000070"/>
      <name val="Work Sans"/>
    </font>
    <font>
      <sz val="10"/>
      <color rgb="FF000000"/>
      <name val="Work Sans"/>
    </font>
    <font>
      <b/>
      <sz val="10"/>
      <color theme="1"/>
      <name val="Arial"/>
      <family val="2"/>
    </font>
    <font>
      <b/>
      <sz val="14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8"/>
      <color rgb="FF000000"/>
      <name val="Verdana"/>
      <family val="2"/>
    </font>
    <font>
      <sz val="10"/>
      <color rgb="FFF04E23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2"/>
      <color rgb="FF000000"/>
      <name val="Aptos"/>
      <family val="2"/>
    </font>
    <font>
      <b/>
      <i/>
      <sz val="11"/>
      <color rgb="FF000000"/>
      <name val="Aptos"/>
      <family val="2"/>
    </font>
    <font>
      <sz val="11"/>
      <color rgb="FF000000"/>
      <name val="Aptos"/>
      <family val="2"/>
    </font>
    <font>
      <b/>
      <sz val="11"/>
      <color rgb="FFFFFFFF"/>
      <name val="Aptos"/>
      <family val="2"/>
    </font>
    <font>
      <b/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sz val="9"/>
      <color theme="0"/>
      <name val="Arial"/>
      <family val="2"/>
      <scheme val="minor"/>
    </font>
    <font>
      <b/>
      <sz val="11"/>
      <color theme="2" tint="-0.749992370372631"/>
      <name val="Arial"/>
      <family val="2"/>
      <scheme val="minor"/>
    </font>
    <font>
      <sz val="11"/>
      <color theme="2" tint="-0.749992370372631"/>
      <name val="Arial"/>
      <family val="2"/>
      <scheme val="minor"/>
    </font>
    <font>
      <sz val="8"/>
      <color theme="2" tint="-0.749992370372631"/>
      <name val="Arial"/>
      <family val="2"/>
      <scheme val="minor"/>
    </font>
    <font>
      <b/>
      <sz val="11"/>
      <name val="Arial"/>
      <family val="2"/>
      <scheme val="minor"/>
    </font>
    <font>
      <b/>
      <sz val="9"/>
      <color rgb="FF00394C"/>
      <name val="Calibri"/>
      <family val="2"/>
    </font>
    <font>
      <b/>
      <sz val="9"/>
      <color rgb="FF000000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2"/>
      <scheme val="minor"/>
    </font>
  </fonts>
  <fills count="102">
    <fill>
      <patternFill patternType="none"/>
    </fill>
    <fill>
      <patternFill patternType="gray125"/>
    </fill>
    <fill>
      <patternFill patternType="solid">
        <fgColor rgb="FF00394C"/>
        <bgColor rgb="FF00394C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2A9FC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8F5EA"/>
        <bgColor indexed="64"/>
      </patternFill>
    </fill>
    <fill>
      <patternFill patternType="solid">
        <fgColor rgb="FFFBF9F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969696"/>
      </patternFill>
    </fill>
    <fill>
      <patternFill patternType="solid">
        <fgColor rgb="FFFFFFFF"/>
      </patternFill>
    </fill>
    <fill>
      <patternFill patternType="solid">
        <fgColor rgb="FF157D9E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33338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9.9978637043366805E-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rgb="FFDDEBF7"/>
        <bgColor indexed="64"/>
      </patternFill>
    </fill>
    <fill>
      <patternFill patternType="solid">
        <fgColor rgb="FF0096C8"/>
        <bgColor indexed="64"/>
      </patternFill>
    </fill>
    <fill>
      <patternFill patternType="solid">
        <fgColor rgb="FFFFE18C"/>
        <bgColor indexed="64"/>
      </patternFill>
    </fill>
    <fill>
      <patternFill patternType="solid">
        <fgColor rgb="FF41556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AC8AA"/>
        <bgColor indexed="64"/>
      </patternFill>
    </fill>
    <fill>
      <patternFill patternType="solid">
        <fgColor rgb="FF96C8FF"/>
        <bgColor indexed="64"/>
      </patternFill>
    </fill>
    <fill>
      <patternFill patternType="solid">
        <fgColor rgb="FFAADC9B"/>
        <bgColor indexed="64"/>
      </patternFill>
    </fill>
    <fill>
      <patternFill patternType="solid">
        <fgColor rgb="FFFFA5D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rgb="FF00394C"/>
      </patternFill>
    </fill>
    <fill>
      <patternFill patternType="solid">
        <fgColor theme="8"/>
        <bgColor rgb="FF00394C"/>
      </patternFill>
    </fill>
    <fill>
      <patternFill patternType="solid">
        <fgColor rgb="FFFFC000"/>
        <bgColor rgb="FF00394C"/>
      </patternFill>
    </fill>
    <fill>
      <patternFill patternType="solid">
        <fgColor theme="6"/>
        <bgColor rgb="FF00394C"/>
      </patternFill>
    </fill>
  </fills>
  <borders count="239">
    <border>
      <left/>
      <right/>
      <top/>
      <bottom/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BCBBB5"/>
      </left>
      <right/>
      <top style="medium">
        <color rgb="FFBCBBB5"/>
      </top>
      <bottom/>
      <diagonal/>
    </border>
    <border>
      <left/>
      <right/>
      <top style="medium">
        <color rgb="FFBCBBB5"/>
      </top>
      <bottom/>
      <diagonal/>
    </border>
    <border>
      <left/>
      <right style="medium">
        <color rgb="FFBCBBB5"/>
      </right>
      <top style="medium">
        <color rgb="FFBCBBB5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BCBBB5"/>
      </left>
      <right/>
      <top/>
      <bottom style="medium">
        <color rgb="FFDBD9D4"/>
      </bottom>
      <diagonal/>
    </border>
    <border>
      <left/>
      <right/>
      <top/>
      <bottom style="medium">
        <color rgb="FFDBD9D4"/>
      </bottom>
      <diagonal/>
    </border>
    <border>
      <left/>
      <right style="medium">
        <color rgb="FFBCBBB5"/>
      </right>
      <top/>
      <bottom style="medium">
        <color rgb="FFDBD9D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BCBBB5"/>
      </left>
      <right/>
      <top style="medium">
        <color rgb="FFDBD9D4"/>
      </top>
      <bottom/>
      <diagonal/>
    </border>
    <border>
      <left style="medium">
        <color rgb="FFDBD9D4"/>
      </left>
      <right/>
      <top style="medium">
        <color rgb="FFDBD9D4"/>
      </top>
      <bottom/>
      <diagonal/>
    </border>
    <border>
      <left style="medium">
        <color rgb="FFDBD9D4"/>
      </left>
      <right style="medium">
        <color rgb="FFBCBBB5"/>
      </right>
      <top style="medium">
        <color rgb="FFDBD9D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BCBBB5"/>
      </left>
      <right/>
      <top style="medium">
        <color rgb="FFDBD9D4"/>
      </top>
      <bottom style="medium">
        <color rgb="FFDBD9D4"/>
      </bottom>
      <diagonal/>
    </border>
    <border>
      <left/>
      <right/>
      <top style="medium">
        <color rgb="FFDBD9D4"/>
      </top>
      <bottom style="medium">
        <color rgb="FFDBD9D4"/>
      </bottom>
      <diagonal/>
    </border>
    <border>
      <left/>
      <right style="medium">
        <color rgb="FFBCBBB5"/>
      </right>
      <top style="medium">
        <color rgb="FFDBD9D4"/>
      </top>
      <bottom style="medium">
        <color rgb="FFDBD9D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BCBBB5"/>
      </left>
      <right/>
      <top style="medium">
        <color rgb="FFDBD9D4"/>
      </top>
      <bottom style="medium">
        <color rgb="FFBCBBB5"/>
      </bottom>
      <diagonal/>
    </border>
    <border>
      <left style="medium">
        <color rgb="FFDBD9D4"/>
      </left>
      <right/>
      <top style="medium">
        <color rgb="FFDBD9D4"/>
      </top>
      <bottom style="medium">
        <color rgb="FFBCBBB5"/>
      </bottom>
      <diagonal/>
    </border>
    <border>
      <left style="medium">
        <color rgb="FFDBD9D4"/>
      </left>
      <right style="medium">
        <color rgb="FFBCBBB5"/>
      </right>
      <top style="medium">
        <color rgb="FFDBD9D4"/>
      </top>
      <bottom style="medium">
        <color rgb="FFBCBBB5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rgb="FFEBEBEB"/>
      </top>
      <bottom/>
      <diagonal/>
    </border>
    <border>
      <left style="medium">
        <color rgb="FFEBEBEB"/>
      </left>
      <right/>
      <top style="medium">
        <color rgb="FFEBEBEB"/>
      </top>
      <bottom/>
      <diagonal/>
    </border>
    <border>
      <left/>
      <right style="medium">
        <color rgb="FFEBEBEB"/>
      </right>
      <top style="medium">
        <color rgb="FFEBEBEB"/>
      </top>
      <bottom/>
      <diagonal/>
    </border>
    <border>
      <left style="medium">
        <color rgb="FFEBEBEB"/>
      </left>
      <right style="medium">
        <color rgb="FFEBEBEB"/>
      </right>
      <top style="medium">
        <color rgb="FFEBEBEB"/>
      </top>
      <bottom/>
      <diagonal/>
    </border>
    <border>
      <left style="medium">
        <color rgb="FFEBEBEB"/>
      </left>
      <right/>
      <top style="medium">
        <color rgb="FFEBEBEB"/>
      </top>
      <bottom style="medium">
        <color rgb="FFEBEBEB"/>
      </bottom>
      <diagonal/>
    </border>
    <border>
      <left style="medium">
        <color rgb="FFEBEBEB"/>
      </left>
      <right style="medium">
        <color rgb="FFEBEBEB"/>
      </right>
      <top style="medium">
        <color rgb="FFEBEBEB"/>
      </top>
      <bottom style="medium">
        <color rgb="FFEBEBEB"/>
      </bottom>
      <diagonal/>
    </border>
    <border>
      <left style="medium">
        <color rgb="FFEBEBEB"/>
      </left>
      <right/>
      <top/>
      <bottom style="medium">
        <color rgb="FFEBEBEB"/>
      </bottom>
      <diagonal/>
    </border>
    <border>
      <left/>
      <right/>
      <top/>
      <bottom style="medium">
        <color rgb="FFEBEBEB"/>
      </bottom>
      <diagonal/>
    </border>
    <border>
      <left/>
      <right style="medium">
        <color rgb="FFEBEBEB"/>
      </right>
      <top/>
      <bottom style="medium">
        <color rgb="FFEBEBEB"/>
      </bottom>
      <diagonal/>
    </border>
    <border>
      <left/>
      <right/>
      <top style="medium">
        <color rgb="FFEBEBEB"/>
      </top>
      <bottom style="medium">
        <color rgb="FFEBEBEB"/>
      </bottom>
      <diagonal/>
    </border>
    <border>
      <left/>
      <right style="medium">
        <color rgb="FFEBEBEB"/>
      </right>
      <top style="medium">
        <color rgb="FFEBEBEB"/>
      </top>
      <bottom style="medium">
        <color rgb="FFEBEBEB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BEBEB"/>
      </left>
      <right/>
      <top/>
      <bottom/>
      <diagonal/>
    </border>
    <border>
      <left style="medium">
        <color rgb="FFEBEBEB"/>
      </left>
      <right style="medium">
        <color rgb="FFEBEBEB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000000"/>
      </left>
      <right style="medium">
        <color rgb="FF7F7F7F"/>
      </right>
      <top style="medium">
        <color rgb="FF000000"/>
      </top>
      <bottom style="medium">
        <color rgb="FF7F7F7F"/>
      </bottom>
      <diagonal/>
    </border>
    <border>
      <left/>
      <right style="medium">
        <color rgb="FF000000"/>
      </right>
      <top style="medium">
        <color rgb="FF000000"/>
      </top>
      <bottom style="medium">
        <color rgb="FF7F7F7F"/>
      </bottom>
      <diagonal/>
    </border>
    <border>
      <left style="medium">
        <color rgb="FF000000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000000"/>
      </right>
      <top/>
      <bottom style="medium">
        <color rgb="FF7F7F7F"/>
      </bottom>
      <diagonal/>
    </border>
    <border>
      <left style="medium">
        <color rgb="FF000000"/>
      </left>
      <right style="medium">
        <color rgb="FF7F7F7F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7F7F7F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medium">
        <color indexed="64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2440">
    <xf numFmtId="0" fontId="0" fillId="0" borderId="0"/>
    <xf numFmtId="41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174" fontId="24" fillId="0" borderId="0" applyFont="0" applyFill="0" applyBorder="0" applyAlignment="0">
      <alignment wrapText="1"/>
    </xf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29" fillId="0" borderId="0" applyFont="0" applyFill="0" applyBorder="0" applyAlignment="0" applyProtection="0"/>
    <xf numFmtId="0" fontId="47" fillId="0" borderId="0"/>
    <xf numFmtId="0" fontId="61" fillId="0" borderId="0"/>
    <xf numFmtId="0" fontId="39" fillId="0" borderId="0" applyNumberFormat="0" applyFont="0" applyFill="0" applyBorder="0" applyProtection="0">
      <alignment horizontal="left" vertical="center" indent="5"/>
    </xf>
    <xf numFmtId="0" fontId="64" fillId="0" borderId="0"/>
    <xf numFmtId="9" fontId="39" fillId="0" borderId="0" applyFont="0" applyFill="0" applyBorder="0" applyAlignment="0" applyProtection="0"/>
    <xf numFmtId="0" fontId="39" fillId="0" borderId="0"/>
    <xf numFmtId="164" fontId="83" fillId="0" borderId="0" applyFont="0" applyFill="0" applyBorder="0" applyAlignment="0" applyProtection="0"/>
    <xf numFmtId="0" fontId="7" fillId="0" borderId="0"/>
    <xf numFmtId="0" fontId="84" fillId="20" borderId="139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>
      <alignment horizontal="right"/>
    </xf>
    <xf numFmtId="4" fontId="94" fillId="16" borderId="169">
      <alignment horizontal="right" vertical="center"/>
    </xf>
    <xf numFmtId="0" fontId="62" fillId="0" borderId="0" applyNumberFormat="0" applyFill="0" applyBorder="0" applyProtection="0">
      <alignment horizontal="left" vertical="center"/>
    </xf>
    <xf numFmtId="0" fontId="61" fillId="49" borderId="0" applyBorder="0">
      <alignment horizontal="right" vertical="center"/>
    </xf>
    <xf numFmtId="0" fontId="61" fillId="49" borderId="144">
      <alignment horizontal="right" vertical="center"/>
    </xf>
    <xf numFmtId="0" fontId="39" fillId="0" borderId="0" applyNumberFormat="0" applyFont="0" applyFill="0" applyBorder="0" applyProtection="0">
      <alignment horizontal="left" vertical="center" indent="2"/>
    </xf>
    <xf numFmtId="0" fontId="61" fillId="49" borderId="0" applyBorder="0">
      <alignment horizontal="right" vertical="center"/>
    </xf>
    <xf numFmtId="0" fontId="61" fillId="0" borderId="0" applyBorder="0">
      <alignment horizontal="right" vertical="center"/>
    </xf>
    <xf numFmtId="0" fontId="61" fillId="0" borderId="167" applyNumberFormat="0" applyFill="0" applyAlignment="0" applyProtection="0"/>
    <xf numFmtId="0" fontId="39" fillId="50" borderId="0" applyNumberFormat="0" applyFont="0" applyBorder="0" applyAlignment="0" applyProtection="0"/>
    <xf numFmtId="0" fontId="61" fillId="50" borderId="167"/>
    <xf numFmtId="0" fontId="61" fillId="0" borderId="4" applyNumberFormat="0" applyFill="0" applyAlignment="0" applyProtection="0"/>
    <xf numFmtId="0" fontId="94" fillId="0" borderId="148">
      <alignment horizontal="left" vertical="top" wrapText="1"/>
    </xf>
    <xf numFmtId="0" fontId="94" fillId="16" borderId="4">
      <alignment horizontal="right" vertical="center"/>
    </xf>
    <xf numFmtId="0" fontId="94" fillId="16" borderId="4">
      <alignment horizontal="right" vertical="center"/>
    </xf>
    <xf numFmtId="0" fontId="61" fillId="0" borderId="149">
      <alignment horizontal="left" vertical="center" wrapText="1" indent="2"/>
    </xf>
    <xf numFmtId="0" fontId="94" fillId="16" borderId="146">
      <alignment horizontal="right" vertical="center"/>
    </xf>
    <xf numFmtId="0" fontId="61" fillId="0" borderId="4">
      <alignment horizontal="right" vertical="center"/>
    </xf>
    <xf numFmtId="0" fontId="39" fillId="0" borderId="38"/>
    <xf numFmtId="0" fontId="96" fillId="49" borderId="4">
      <alignment horizontal="right" vertical="center"/>
    </xf>
    <xf numFmtId="0" fontId="61" fillId="50" borderId="4"/>
    <xf numFmtId="0" fontId="94" fillId="49" borderId="4">
      <alignment horizontal="right" vertical="center"/>
    </xf>
    <xf numFmtId="0" fontId="94" fillId="49" borderId="5">
      <alignment horizontal="right" vertical="center"/>
    </xf>
    <xf numFmtId="0" fontId="61" fillId="0" borderId="5">
      <alignment horizontal="right" vertical="center"/>
    </xf>
    <xf numFmtId="4" fontId="39" fillId="0" borderId="0"/>
    <xf numFmtId="0" fontId="94" fillId="16" borderId="147">
      <alignment horizontal="right" vertical="center"/>
    </xf>
    <xf numFmtId="0" fontId="94" fillId="16" borderId="5">
      <alignment horizontal="right" vertical="center"/>
    </xf>
    <xf numFmtId="0" fontId="94" fillId="16" borderId="145">
      <alignment horizontal="right" vertical="center"/>
    </xf>
    <xf numFmtId="4" fontId="94" fillId="16" borderId="146">
      <alignment horizontal="right" vertical="center"/>
    </xf>
    <xf numFmtId="0" fontId="61" fillId="0" borderId="0"/>
    <xf numFmtId="0" fontId="61" fillId="53" borderId="4">
      <alignment horizontal="right" vertical="center"/>
    </xf>
    <xf numFmtId="0" fontId="61" fillId="53" borderId="0" applyBorder="0">
      <alignment horizontal="right" vertical="center"/>
    </xf>
    <xf numFmtId="0" fontId="39" fillId="0" borderId="0"/>
    <xf numFmtId="0" fontId="39" fillId="52" borderId="4"/>
    <xf numFmtId="4" fontId="39" fillId="0" borderId="0"/>
    <xf numFmtId="4" fontId="61" fillId="0" borderId="4" applyFill="0" applyBorder="0" applyProtection="0">
      <alignment horizontal="right" vertical="center"/>
    </xf>
    <xf numFmtId="0" fontId="98" fillId="0" borderId="0" applyNumberFormat="0" applyFill="0" applyBorder="0" applyAlignment="0" applyProtection="0"/>
    <xf numFmtId="0" fontId="61" fillId="0" borderId="0"/>
    <xf numFmtId="4" fontId="39" fillId="0" borderId="0"/>
    <xf numFmtId="4" fontId="39" fillId="0" borderId="0"/>
    <xf numFmtId="0" fontId="7" fillId="0" borderId="0"/>
    <xf numFmtId="0" fontId="104" fillId="72" borderId="179" applyNumberFormat="0" applyAlignment="0" applyProtection="0"/>
    <xf numFmtId="0" fontId="61" fillId="50" borderId="4"/>
    <xf numFmtId="0" fontId="94" fillId="16" borderId="146">
      <alignment horizontal="right" vertical="center"/>
    </xf>
    <xf numFmtId="4" fontId="94" fillId="16" borderId="169">
      <alignment horizontal="right" vertical="center"/>
    </xf>
    <xf numFmtId="0" fontId="117" fillId="59" borderId="172" applyNumberFormat="0" applyAlignment="0" applyProtection="0"/>
    <xf numFmtId="0" fontId="61" fillId="0" borderId="167">
      <alignment horizontal="right" vertical="center"/>
    </xf>
    <xf numFmtId="0" fontId="109" fillId="0" borderId="180" applyNumberFormat="0" applyFill="0" applyAlignment="0" applyProtection="0"/>
    <xf numFmtId="0" fontId="61" fillId="50" borderId="182"/>
    <xf numFmtId="0" fontId="85" fillId="27" borderId="140" applyNumberFormat="0" applyAlignment="0" applyProtection="0"/>
    <xf numFmtId="0" fontId="86" fillId="27" borderId="139" applyNumberFormat="0" applyAlignment="0" applyProtection="0"/>
    <xf numFmtId="49" fontId="61" fillId="0" borderId="168" applyNumberFormat="0" applyFont="0" applyFill="0" applyBorder="0" applyProtection="0">
      <alignment horizontal="left" vertical="center" indent="5"/>
    </xf>
    <xf numFmtId="0" fontId="87" fillId="0" borderId="0" applyNumberFormat="0" applyFill="0" applyBorder="0" applyAlignment="0" applyProtection="0"/>
    <xf numFmtId="0" fontId="94" fillId="16" borderId="167">
      <alignment horizontal="right" vertical="center"/>
    </xf>
    <xf numFmtId="0" fontId="88" fillId="0" borderId="0" applyNumberFormat="0" applyFill="0" applyBorder="0" applyAlignment="0" applyProtection="0"/>
    <xf numFmtId="0" fontId="30" fillId="0" borderId="141" applyNumberFormat="0" applyFill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89" fillId="30" borderId="0" applyNumberFormat="0" applyBorder="0" applyAlignment="0" applyProtection="0"/>
    <xf numFmtId="0" fontId="61" fillId="16" borderId="178">
      <alignment horizontal="left" vertical="center" wrapText="1" indent="2"/>
    </xf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89" fillId="33" borderId="0" applyNumberFormat="0" applyBorder="0" applyAlignment="0" applyProtection="0"/>
    <xf numFmtId="0" fontId="121" fillId="72" borderId="163" applyNumberFormat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9" fillId="36" borderId="0" applyNumberFormat="0" applyBorder="0" applyAlignment="0" applyProtection="0"/>
    <xf numFmtId="0" fontId="102" fillId="72" borderId="163" applyNumberFormat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89" fillId="39" borderId="0" applyNumberFormat="0" applyBorder="0" applyAlignment="0" applyProtection="0"/>
    <xf numFmtId="0" fontId="61" fillId="50" borderId="167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89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4" borderId="0" applyNumberFormat="0" applyBorder="0" applyAlignment="0" applyProtection="0"/>
    <xf numFmtId="0" fontId="89" fillId="45" borderId="0" applyNumberFormat="0" applyBorder="0" applyAlignment="0" applyProtection="0"/>
    <xf numFmtId="0" fontId="61" fillId="0" borderId="4" applyNumberFormat="0" applyFill="0" applyAlignment="0" applyProtection="0"/>
    <xf numFmtId="0" fontId="94" fillId="16" borderId="4">
      <alignment horizontal="right" vertical="center"/>
    </xf>
    <xf numFmtId="0" fontId="94" fillId="16" borderId="4">
      <alignment horizontal="right" vertical="center"/>
    </xf>
    <xf numFmtId="0" fontId="61" fillId="0" borderId="149">
      <alignment horizontal="left" vertical="center" wrapText="1" indent="2"/>
    </xf>
    <xf numFmtId="0" fontId="94" fillId="16" borderId="146">
      <alignment horizontal="right" vertical="center"/>
    </xf>
    <xf numFmtId="0" fontId="61" fillId="0" borderId="4">
      <alignment horizontal="right" vertical="center"/>
    </xf>
    <xf numFmtId="0" fontId="96" fillId="49" borderId="4">
      <alignment horizontal="right" vertical="center"/>
    </xf>
    <xf numFmtId="0" fontId="61" fillId="50" borderId="4"/>
    <xf numFmtId="0" fontId="94" fillId="49" borderId="4">
      <alignment horizontal="right" vertical="center"/>
    </xf>
    <xf numFmtId="0" fontId="94" fillId="16" borderId="145">
      <alignment horizontal="right" vertical="center"/>
    </xf>
    <xf numFmtId="0" fontId="42" fillId="0" borderId="0" applyNumberFormat="0" applyFill="0" applyBorder="0" applyAlignment="0" applyProtection="0"/>
    <xf numFmtId="0" fontId="99" fillId="54" borderId="0" applyNumberFormat="0" applyBorder="0" applyAlignment="0" applyProtection="0"/>
    <xf numFmtId="0" fontId="99" fillId="55" borderId="0" applyNumberFormat="0" applyBorder="0" applyAlignment="0" applyProtection="0"/>
    <xf numFmtId="0" fontId="99" fillId="56" borderId="0" applyNumberFormat="0" applyBorder="0" applyAlignment="0" applyProtection="0"/>
    <xf numFmtId="0" fontId="99" fillId="57" borderId="0" applyNumberFormat="0" applyBorder="0" applyAlignment="0" applyProtection="0"/>
    <xf numFmtId="0" fontId="99" fillId="58" borderId="0" applyNumberFormat="0" applyBorder="0" applyAlignment="0" applyProtection="0"/>
    <xf numFmtId="0" fontId="99" fillId="59" borderId="0" applyNumberFormat="0" applyBorder="0" applyAlignment="0" applyProtection="0"/>
    <xf numFmtId="0" fontId="39" fillId="0" borderId="0" applyNumberFormat="0" applyFont="0" applyFill="0" applyBorder="0" applyProtection="0">
      <alignment horizontal="left" vertical="center" indent="2"/>
    </xf>
    <xf numFmtId="0" fontId="39" fillId="0" borderId="0" applyNumberFormat="0" applyFont="0" applyFill="0" applyBorder="0" applyProtection="0">
      <alignment horizontal="left" vertical="center" indent="2"/>
    </xf>
    <xf numFmtId="49" fontId="61" fillId="0" borderId="4" applyNumberFormat="0" applyFont="0" applyFill="0" applyBorder="0" applyProtection="0">
      <alignment horizontal="left" vertical="center" indent="2"/>
    </xf>
    <xf numFmtId="0" fontId="99" fillId="60" borderId="0" applyNumberFormat="0" applyBorder="0" applyAlignment="0" applyProtection="0"/>
    <xf numFmtId="0" fontId="99" fillId="61" borderId="0" applyNumberFormat="0" applyBorder="0" applyAlignment="0" applyProtection="0"/>
    <xf numFmtId="0" fontId="99" fillId="62" borderId="0" applyNumberFormat="0" applyBorder="0" applyAlignment="0" applyProtection="0"/>
    <xf numFmtId="0" fontId="99" fillId="57" borderId="0" applyNumberFormat="0" applyBorder="0" applyAlignment="0" applyProtection="0"/>
    <xf numFmtId="0" fontId="99" fillId="60" borderId="0" applyNumberFormat="0" applyBorder="0" applyAlignment="0" applyProtection="0"/>
    <xf numFmtId="0" fontId="99" fillId="63" borderId="0" applyNumberFormat="0" applyBorder="0" applyAlignment="0" applyProtection="0"/>
    <xf numFmtId="0" fontId="39" fillId="0" borderId="0" applyNumberFormat="0" applyFont="0" applyFill="0" applyBorder="0" applyProtection="0">
      <alignment horizontal="left" vertical="center" indent="5"/>
    </xf>
    <xf numFmtId="0" fontId="39" fillId="0" borderId="0" applyNumberFormat="0" applyFont="0" applyFill="0" applyBorder="0" applyProtection="0">
      <alignment horizontal="left" vertical="center" indent="5"/>
    </xf>
    <xf numFmtId="49" fontId="61" fillId="0" borderId="145" applyNumberFormat="0" applyFont="0" applyFill="0" applyBorder="0" applyProtection="0">
      <alignment horizontal="left" vertical="center" indent="5"/>
    </xf>
    <xf numFmtId="0" fontId="101" fillId="64" borderId="0" applyNumberFormat="0" applyBorder="0" applyAlignment="0" applyProtection="0"/>
    <xf numFmtId="0" fontId="101" fillId="61" borderId="0" applyNumberFormat="0" applyBorder="0" applyAlignment="0" applyProtection="0"/>
    <xf numFmtId="0" fontId="101" fillId="62" borderId="0" applyNumberFormat="0" applyBorder="0" applyAlignment="0" applyProtection="0"/>
    <xf numFmtId="0" fontId="101" fillId="65" borderId="0" applyNumberFormat="0" applyBorder="0" applyAlignment="0" applyProtection="0"/>
    <xf numFmtId="0" fontId="101" fillId="66" borderId="0" applyNumberFormat="0" applyBorder="0" applyAlignment="0" applyProtection="0"/>
    <xf numFmtId="0" fontId="101" fillId="67" borderId="0" applyNumberFormat="0" applyBorder="0" applyAlignment="0" applyProtection="0"/>
    <xf numFmtId="0" fontId="101" fillId="68" borderId="0" applyNumberFormat="0" applyBorder="0" applyAlignment="0" applyProtection="0"/>
    <xf numFmtId="0" fontId="101" fillId="69" borderId="0" applyNumberFormat="0" applyBorder="0" applyAlignment="0" applyProtection="0"/>
    <xf numFmtId="0" fontId="101" fillId="70" borderId="0" applyNumberFormat="0" applyBorder="0" applyAlignment="0" applyProtection="0"/>
    <xf numFmtId="0" fontId="101" fillId="65" borderId="0" applyNumberFormat="0" applyBorder="0" applyAlignment="0" applyProtection="0"/>
    <xf numFmtId="0" fontId="101" fillId="66" borderId="0" applyNumberFormat="0" applyBorder="0" applyAlignment="0" applyProtection="0"/>
    <xf numFmtId="0" fontId="101" fillId="71" borderId="0" applyNumberFormat="0" applyBorder="0" applyAlignment="0" applyProtection="0"/>
    <xf numFmtId="0" fontId="62" fillId="53" borderId="0" applyBorder="0" applyAlignment="0"/>
    <xf numFmtId="4" fontId="62" fillId="53" borderId="0" applyBorder="0" applyAlignment="0"/>
    <xf numFmtId="4" fontId="61" fillId="53" borderId="0" applyBorder="0">
      <alignment horizontal="right" vertical="center"/>
    </xf>
    <xf numFmtId="4" fontId="61" fillId="49" borderId="0" applyBorder="0">
      <alignment horizontal="right" vertical="center"/>
    </xf>
    <xf numFmtId="4" fontId="61" fillId="49" borderId="0" applyBorder="0">
      <alignment horizontal="right" vertical="center"/>
    </xf>
    <xf numFmtId="4" fontId="94" fillId="49" borderId="4">
      <alignment horizontal="right" vertical="center"/>
    </xf>
    <xf numFmtId="4" fontId="96" fillId="49" borderId="4">
      <alignment horizontal="right" vertical="center"/>
    </xf>
    <xf numFmtId="4" fontId="94" fillId="16" borderId="4">
      <alignment horizontal="right" vertical="center"/>
    </xf>
    <xf numFmtId="4" fontId="94" fillId="16" borderId="4">
      <alignment horizontal="right" vertical="center"/>
    </xf>
    <xf numFmtId="4" fontId="94" fillId="16" borderId="145">
      <alignment horizontal="right" vertical="center"/>
    </xf>
    <xf numFmtId="4" fontId="94" fillId="16" borderId="146">
      <alignment horizontal="right" vertical="center"/>
    </xf>
    <xf numFmtId="0" fontId="100" fillId="68" borderId="0" applyNumberFormat="0" applyBorder="0" applyAlignment="0" applyProtection="0"/>
    <xf numFmtId="0" fontId="100" fillId="69" borderId="0" applyNumberFormat="0" applyBorder="0" applyAlignment="0" applyProtection="0"/>
    <xf numFmtId="0" fontId="100" fillId="70" borderId="0" applyNumberFormat="0" applyBorder="0" applyAlignment="0" applyProtection="0"/>
    <xf numFmtId="0" fontId="100" fillId="65" borderId="0" applyNumberFormat="0" applyBorder="0" applyAlignment="0" applyProtection="0"/>
    <xf numFmtId="0" fontId="100" fillId="66" borderId="0" applyNumberFormat="0" applyBorder="0" applyAlignment="0" applyProtection="0"/>
    <xf numFmtId="0" fontId="100" fillId="71" borderId="0" applyNumberFormat="0" applyBorder="0" applyAlignment="0" applyProtection="0"/>
    <xf numFmtId="0" fontId="103" fillId="55" borderId="0" applyNumberFormat="0" applyBorder="0" applyAlignment="0" applyProtection="0"/>
    <xf numFmtId="4" fontId="62" fillId="0" borderId="110" applyFill="0" applyBorder="0" applyProtection="0">
      <alignment horizontal="right" vertical="center"/>
    </xf>
    <xf numFmtId="0" fontId="105" fillId="72" borderId="151" applyNumberFormat="0" applyAlignment="0" applyProtection="0"/>
    <xf numFmtId="0" fontId="106" fillId="73" borderId="152" applyNumberFormat="0" applyAlignment="0" applyProtection="0"/>
    <xf numFmtId="43" fontId="97" fillId="0" borderId="0" applyFont="0" applyFill="0" applyBorder="0" applyAlignment="0" applyProtection="0"/>
    <xf numFmtId="184" fontId="10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61" fillId="16" borderId="149">
      <alignment horizontal="left" vertical="center" wrapText="1" indent="2"/>
    </xf>
    <xf numFmtId="0" fontId="61" fillId="49" borderId="145">
      <alignment horizontal="left" vertical="center"/>
    </xf>
    <xf numFmtId="0" fontId="111" fillId="0" borderId="0" applyNumberFormat="0" applyFill="0" applyBorder="0" applyAlignment="0" applyProtection="0"/>
    <xf numFmtId="0" fontId="112" fillId="56" borderId="0" applyNumberFormat="0" applyBorder="0" applyAlignment="0" applyProtection="0"/>
    <xf numFmtId="0" fontId="113" fillId="56" borderId="0" applyNumberFormat="0" applyBorder="0" applyAlignment="0" applyProtection="0"/>
    <xf numFmtId="0" fontId="114" fillId="0" borderId="154" applyNumberFormat="0" applyFill="0" applyAlignment="0" applyProtection="0"/>
    <xf numFmtId="0" fontId="115" fillId="0" borderId="155" applyNumberFormat="0" applyFill="0" applyAlignment="0" applyProtection="0"/>
    <xf numFmtId="0" fontId="116" fillId="0" borderId="156" applyNumberFormat="0" applyFill="0" applyAlignment="0" applyProtection="0"/>
    <xf numFmtId="0" fontId="116" fillId="0" borderId="0" applyNumberFormat="0" applyFill="0" applyBorder="0" applyAlignment="0" applyProtection="0"/>
    <xf numFmtId="0" fontId="117" fillId="59" borderId="151" applyNumberFormat="0" applyAlignment="0" applyProtection="0"/>
    <xf numFmtId="4" fontId="61" fillId="0" borderId="0" applyBorder="0">
      <alignment horizontal="right" vertical="center"/>
    </xf>
    <xf numFmtId="0" fontId="61" fillId="0" borderId="6">
      <alignment horizontal="right" vertical="center"/>
    </xf>
    <xf numFmtId="4" fontId="61" fillId="0" borderId="4">
      <alignment horizontal="right" vertical="center"/>
    </xf>
    <xf numFmtId="1" fontId="95" fillId="49" borderId="0" applyBorder="0">
      <alignment horizontal="right" vertical="center"/>
    </xf>
    <xf numFmtId="0" fontId="118" fillId="0" borderId="157" applyNumberFormat="0" applyFill="0" applyAlignment="0" applyProtection="0"/>
    <xf numFmtId="0" fontId="119" fillId="74" borderId="0" applyNumberFormat="0" applyBorder="0" applyAlignment="0" applyProtection="0"/>
    <xf numFmtId="0" fontId="39" fillId="0" borderId="0"/>
    <xf numFmtId="0" fontId="39" fillId="0" borderId="0"/>
    <xf numFmtId="0" fontId="94" fillId="16" borderId="167">
      <alignment horizontal="right" vertical="center"/>
    </xf>
    <xf numFmtId="0" fontId="39" fillId="0" borderId="0"/>
    <xf numFmtId="0" fontId="107" fillId="0" borderId="0"/>
    <xf numFmtId="4" fontId="1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4" fontId="61" fillId="0" borderId="0" applyFill="0" applyBorder="0" applyProtection="0">
      <alignment horizontal="right" vertical="center"/>
    </xf>
    <xf numFmtId="4" fontId="61" fillId="0" borderId="0" applyFill="0" applyBorder="0" applyProtection="0">
      <alignment horizontal="right" vertical="center"/>
    </xf>
    <xf numFmtId="4" fontId="61" fillId="0" borderId="4" applyFill="0" applyBorder="0" applyProtection="0">
      <alignment horizontal="right" vertical="center"/>
    </xf>
    <xf numFmtId="0" fontId="62" fillId="0" borderId="0" applyNumberFormat="0" applyFill="0" applyBorder="0" applyProtection="0">
      <alignment horizontal="left" vertical="center"/>
    </xf>
    <xf numFmtId="49" fontId="62" fillId="0" borderId="4" applyNumberFormat="0" applyFill="0" applyBorder="0" applyProtection="0">
      <alignment horizontal="left" vertical="center"/>
    </xf>
    <xf numFmtId="0" fontId="39" fillId="50" borderId="0" applyNumberFormat="0" applyFont="0" applyBorder="0" applyAlignment="0" applyProtection="0"/>
    <xf numFmtId="4" fontId="39" fillId="50" borderId="0" applyNumberFormat="0" applyFont="0" applyBorder="0" applyAlignment="0" applyProtection="0"/>
    <xf numFmtId="4" fontId="39" fillId="50" borderId="0" applyNumberFormat="0" applyFont="0" applyBorder="0" applyAlignment="0" applyProtection="0"/>
    <xf numFmtId="0" fontId="39" fillId="50" borderId="0" applyNumberFormat="0" applyFont="0" applyBorder="0" applyAlignment="0" applyProtection="0"/>
    <xf numFmtId="0" fontId="39" fillId="50" borderId="0" applyNumberFormat="0" applyFont="0" applyBorder="0" applyAlignment="0" applyProtection="0"/>
    <xf numFmtId="0" fontId="107" fillId="51" borderId="0" applyNumberFormat="0" applyFont="0" applyBorder="0" applyAlignment="0" applyProtection="0"/>
    <xf numFmtId="0" fontId="99" fillId="75" borderId="158" applyNumberFormat="0" applyFont="0" applyAlignment="0" applyProtection="0"/>
    <xf numFmtId="0" fontId="39" fillId="75" borderId="158" applyNumberFormat="0" applyFont="0" applyAlignment="0" applyProtection="0"/>
    <xf numFmtId="0" fontId="121" fillId="72" borderId="150" applyNumberFormat="0" applyAlignment="0" applyProtection="0"/>
    <xf numFmtId="182" fontId="61" fillId="76" borderId="4" applyNumberFormat="0" applyFont="0" applyBorder="0" applyAlignment="0" applyProtection="0">
      <alignment horizontal="right" vertical="center"/>
    </xf>
    <xf numFmtId="9" fontId="107" fillId="0" borderId="0" applyFont="0" applyFill="0" applyBorder="0" applyAlignment="0" applyProtection="0"/>
    <xf numFmtId="0" fontId="122" fillId="55" borderId="0" applyNumberFormat="0" applyBorder="0" applyAlignment="0" applyProtection="0"/>
    <xf numFmtId="4" fontId="61" fillId="50" borderId="4"/>
    <xf numFmtId="0" fontId="61" fillId="50" borderId="5"/>
    <xf numFmtId="0" fontId="123" fillId="0" borderId="0" applyNumberFormat="0" applyFill="0" applyBorder="0" applyAlignment="0" applyProtection="0"/>
    <xf numFmtId="0" fontId="124" fillId="0" borderId="153" applyNumberFormat="0" applyFill="0" applyAlignment="0" applyProtection="0"/>
    <xf numFmtId="0" fontId="125" fillId="0" borderId="0" applyNumberFormat="0" applyFill="0" applyBorder="0" applyAlignment="0" applyProtection="0"/>
    <xf numFmtId="0" fontId="126" fillId="0" borderId="154" applyNumberFormat="0" applyFill="0" applyAlignment="0" applyProtection="0"/>
    <xf numFmtId="0" fontId="127" fillId="0" borderId="155" applyNumberFormat="0" applyFill="0" applyAlignment="0" applyProtection="0"/>
    <xf numFmtId="0" fontId="128" fillId="0" borderId="156" applyNumberFormat="0" applyFill="0" applyAlignment="0" applyProtection="0"/>
    <xf numFmtId="0" fontId="128" fillId="0" borderId="0" applyNumberFormat="0" applyFill="0" applyBorder="0" applyAlignment="0" applyProtection="0"/>
    <xf numFmtId="0" fontId="129" fillId="0" borderId="157" applyNumberFormat="0" applyFill="0" applyAlignment="0" applyProtection="0"/>
    <xf numFmtId="0" fontId="131" fillId="0" borderId="0" applyNumberFormat="0" applyFill="0" applyBorder="0" applyAlignment="0" applyProtection="0"/>
    <xf numFmtId="0" fontId="132" fillId="73" borderId="152" applyNumberFormat="0" applyAlignment="0" applyProtection="0"/>
    <xf numFmtId="0" fontId="98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9" fillId="0" borderId="0" applyNumberFormat="0" applyFont="0" applyFill="0" applyBorder="0" applyProtection="0">
      <alignment horizontal="left" vertical="center"/>
    </xf>
    <xf numFmtId="0" fontId="61" fillId="49" borderId="0" applyBorder="0">
      <alignment horizontal="right" vertical="center"/>
    </xf>
    <xf numFmtId="0" fontId="61" fillId="49" borderId="0" applyBorder="0">
      <alignment horizontal="right" vertical="center"/>
    </xf>
    <xf numFmtId="0" fontId="61" fillId="0" borderId="0" applyBorder="0">
      <alignment horizontal="right" vertical="center"/>
    </xf>
    <xf numFmtId="4" fontId="39" fillId="0" borderId="0"/>
    <xf numFmtId="0" fontId="134" fillId="0" borderId="0"/>
    <xf numFmtId="0" fontId="39" fillId="50" borderId="0" applyNumberFormat="0" applyFont="0" applyBorder="0" applyAlignment="0" applyProtection="0"/>
    <xf numFmtId="0" fontId="98" fillId="0" borderId="0" applyNumberFormat="0" applyFill="0" applyBorder="0" applyAlignment="0" applyProtection="0"/>
    <xf numFmtId="0" fontId="99" fillId="54" borderId="0" applyNumberFormat="0" applyBorder="0" applyAlignment="0" applyProtection="0"/>
    <xf numFmtId="0" fontId="99" fillId="55" borderId="0" applyNumberFormat="0" applyBorder="0" applyAlignment="0" applyProtection="0"/>
    <xf numFmtId="0" fontId="99" fillId="56" borderId="0" applyNumberFormat="0" applyBorder="0" applyAlignment="0" applyProtection="0"/>
    <xf numFmtId="0" fontId="99" fillId="57" borderId="0" applyNumberFormat="0" applyBorder="0" applyAlignment="0" applyProtection="0"/>
    <xf numFmtId="0" fontId="99" fillId="58" borderId="0" applyNumberFormat="0" applyBorder="0" applyAlignment="0" applyProtection="0"/>
    <xf numFmtId="0" fontId="99" fillId="59" borderId="0" applyNumberFormat="0" applyBorder="0" applyAlignment="0" applyProtection="0"/>
    <xf numFmtId="0" fontId="99" fillId="60" borderId="0" applyNumberFormat="0" applyBorder="0" applyAlignment="0" applyProtection="0"/>
    <xf numFmtId="0" fontId="99" fillId="61" borderId="0" applyNumberFormat="0" applyBorder="0" applyAlignment="0" applyProtection="0"/>
    <xf numFmtId="0" fontId="99" fillId="62" borderId="0" applyNumberFormat="0" applyBorder="0" applyAlignment="0" applyProtection="0"/>
    <xf numFmtId="0" fontId="99" fillId="57" borderId="0" applyNumberFormat="0" applyBorder="0" applyAlignment="0" applyProtection="0"/>
    <xf numFmtId="0" fontId="99" fillId="60" borderId="0" applyNumberFormat="0" applyBorder="0" applyAlignment="0" applyProtection="0"/>
    <xf numFmtId="0" fontId="99" fillId="63" borderId="0" applyNumberFormat="0" applyBorder="0" applyAlignment="0" applyProtection="0"/>
    <xf numFmtId="0" fontId="101" fillId="64" borderId="0" applyNumberFormat="0" applyBorder="0" applyAlignment="0" applyProtection="0"/>
    <xf numFmtId="0" fontId="101" fillId="61" borderId="0" applyNumberFormat="0" applyBorder="0" applyAlignment="0" applyProtection="0"/>
    <xf numFmtId="0" fontId="101" fillId="62" borderId="0" applyNumberFormat="0" applyBorder="0" applyAlignment="0" applyProtection="0"/>
    <xf numFmtId="0" fontId="101" fillId="65" borderId="0" applyNumberFormat="0" applyBorder="0" applyAlignment="0" applyProtection="0"/>
    <xf numFmtId="0" fontId="101" fillId="66" borderId="0" applyNumberFormat="0" applyBorder="0" applyAlignment="0" applyProtection="0"/>
    <xf numFmtId="0" fontId="101" fillId="67" borderId="0" applyNumberFormat="0" applyBorder="0" applyAlignment="0" applyProtection="0"/>
    <xf numFmtId="0" fontId="101" fillId="68" borderId="0" applyNumberFormat="0" applyBorder="0" applyAlignment="0" applyProtection="0"/>
    <xf numFmtId="0" fontId="101" fillId="69" borderId="0" applyNumberFormat="0" applyBorder="0" applyAlignment="0" applyProtection="0"/>
    <xf numFmtId="0" fontId="101" fillId="70" borderId="0" applyNumberFormat="0" applyBorder="0" applyAlignment="0" applyProtection="0"/>
    <xf numFmtId="0" fontId="101" fillId="65" borderId="0" applyNumberFormat="0" applyBorder="0" applyAlignment="0" applyProtection="0"/>
    <xf numFmtId="0" fontId="101" fillId="66" borderId="0" applyNumberFormat="0" applyBorder="0" applyAlignment="0" applyProtection="0"/>
    <xf numFmtId="0" fontId="101" fillId="71" borderId="0" applyNumberFormat="0" applyBorder="0" applyAlignment="0" applyProtection="0"/>
    <xf numFmtId="0" fontId="103" fillId="55" borderId="0" applyNumberFormat="0" applyBorder="0" applyAlignment="0" applyProtection="0"/>
    <xf numFmtId="0" fontId="105" fillId="72" borderId="151" applyNumberFormat="0" applyAlignment="0" applyProtection="0"/>
    <xf numFmtId="0" fontId="106" fillId="73" borderId="152" applyNumberFormat="0" applyAlignment="0" applyProtection="0"/>
    <xf numFmtId="0" fontId="111" fillId="0" borderId="0" applyNumberFormat="0" applyFill="0" applyBorder="0" applyAlignment="0" applyProtection="0"/>
    <xf numFmtId="0" fontId="112" fillId="56" borderId="0" applyNumberFormat="0" applyBorder="0" applyAlignment="0" applyProtection="0"/>
    <xf numFmtId="0" fontId="114" fillId="0" borderId="154" applyNumberFormat="0" applyFill="0" applyAlignment="0" applyProtection="0"/>
    <xf numFmtId="0" fontId="115" fillId="0" borderId="155" applyNumberFormat="0" applyFill="0" applyAlignment="0" applyProtection="0"/>
    <xf numFmtId="0" fontId="116" fillId="0" borderId="156" applyNumberFormat="0" applyFill="0" applyAlignment="0" applyProtection="0"/>
    <xf numFmtId="0" fontId="116" fillId="0" borderId="0" applyNumberFormat="0" applyFill="0" applyBorder="0" applyAlignment="0" applyProtection="0"/>
    <xf numFmtId="0" fontId="117" fillId="59" borderId="151" applyNumberFormat="0" applyAlignment="0" applyProtection="0"/>
    <xf numFmtId="0" fontId="118" fillId="0" borderId="157" applyNumberFormat="0" applyFill="0" applyAlignment="0" applyProtection="0"/>
    <xf numFmtId="0" fontId="119" fillId="74" borderId="0" applyNumberFormat="0" applyBorder="0" applyAlignment="0" applyProtection="0"/>
    <xf numFmtId="0" fontId="39" fillId="0" borderId="0"/>
    <xf numFmtId="0" fontId="99" fillId="75" borderId="158" applyNumberFormat="0" applyFont="0" applyAlignment="0" applyProtection="0"/>
    <xf numFmtId="0" fontId="121" fillId="72" borderId="150" applyNumberFormat="0" applyAlignment="0" applyProtection="0"/>
    <xf numFmtId="0" fontId="123" fillId="0" borderId="0" applyNumberFormat="0" applyFill="0" applyBorder="0" applyAlignment="0" applyProtection="0"/>
    <xf numFmtId="0" fontId="124" fillId="0" borderId="153" applyNumberFormat="0" applyFill="0" applyAlignment="0" applyProtection="0"/>
    <xf numFmtId="0" fontId="131" fillId="0" borderId="0" applyNumberFormat="0" applyFill="0" applyBorder="0" applyAlignment="0" applyProtection="0"/>
    <xf numFmtId="0" fontId="135" fillId="0" borderId="0">
      <alignment horizontal="left" vertical="center" indent="1"/>
    </xf>
    <xf numFmtId="0" fontId="99" fillId="54" borderId="0" applyNumberFormat="0" applyBorder="0" applyAlignment="0" applyProtection="0"/>
    <xf numFmtId="0" fontId="99" fillId="55" borderId="0" applyNumberFormat="0" applyBorder="0" applyAlignment="0" applyProtection="0"/>
    <xf numFmtId="0" fontId="99" fillId="56" borderId="0" applyNumberFormat="0" applyBorder="0" applyAlignment="0" applyProtection="0"/>
    <xf numFmtId="0" fontId="99" fillId="57" borderId="0" applyNumberFormat="0" applyBorder="0" applyAlignment="0" applyProtection="0"/>
    <xf numFmtId="0" fontId="99" fillId="58" borderId="0" applyNumberFormat="0" applyBorder="0" applyAlignment="0" applyProtection="0"/>
    <xf numFmtId="0" fontId="99" fillId="59" borderId="0" applyNumberFormat="0" applyBorder="0" applyAlignment="0" applyProtection="0"/>
    <xf numFmtId="0" fontId="99" fillId="60" borderId="0" applyNumberFormat="0" applyBorder="0" applyAlignment="0" applyProtection="0"/>
    <xf numFmtId="0" fontId="99" fillId="61" borderId="0" applyNumberFormat="0" applyBorder="0" applyAlignment="0" applyProtection="0"/>
    <xf numFmtId="0" fontId="99" fillId="62" borderId="0" applyNumberFormat="0" applyBorder="0" applyAlignment="0" applyProtection="0"/>
    <xf numFmtId="0" fontId="99" fillId="57" borderId="0" applyNumberFormat="0" applyBorder="0" applyAlignment="0" applyProtection="0"/>
    <xf numFmtId="0" fontId="99" fillId="60" borderId="0" applyNumberFormat="0" applyBorder="0" applyAlignment="0" applyProtection="0"/>
    <xf numFmtId="0" fontId="99" fillId="63" borderId="0" applyNumberFormat="0" applyBorder="0" applyAlignment="0" applyProtection="0"/>
    <xf numFmtId="0" fontId="101" fillId="64" borderId="0" applyNumberFormat="0" applyBorder="0" applyAlignment="0" applyProtection="0"/>
    <xf numFmtId="0" fontId="101" fillId="61" borderId="0" applyNumberFormat="0" applyBorder="0" applyAlignment="0" applyProtection="0"/>
    <xf numFmtId="0" fontId="101" fillId="62" borderId="0" applyNumberFormat="0" applyBorder="0" applyAlignment="0" applyProtection="0"/>
    <xf numFmtId="0" fontId="101" fillId="65" borderId="0" applyNumberFormat="0" applyBorder="0" applyAlignment="0" applyProtection="0"/>
    <xf numFmtId="0" fontId="101" fillId="66" borderId="0" applyNumberFormat="0" applyBorder="0" applyAlignment="0" applyProtection="0"/>
    <xf numFmtId="0" fontId="101" fillId="67" borderId="0" applyNumberFormat="0" applyBorder="0" applyAlignment="0" applyProtection="0"/>
    <xf numFmtId="0" fontId="94" fillId="49" borderId="159">
      <alignment horizontal="right" vertical="center"/>
    </xf>
    <xf numFmtId="4" fontId="94" fillId="49" borderId="159">
      <alignment horizontal="right" vertical="center"/>
    </xf>
    <xf numFmtId="0" fontId="96" fillId="49" borderId="159">
      <alignment horizontal="right" vertical="center"/>
    </xf>
    <xf numFmtId="4" fontId="96" fillId="49" borderId="159">
      <alignment horizontal="right" vertical="center"/>
    </xf>
    <xf numFmtId="0" fontId="94" fillId="16" borderId="159">
      <alignment horizontal="right" vertical="center"/>
    </xf>
    <xf numFmtId="4" fontId="94" fillId="16" borderId="159">
      <alignment horizontal="right" vertical="center"/>
    </xf>
    <xf numFmtId="0" fontId="94" fillId="16" borderId="159">
      <alignment horizontal="right" vertical="center"/>
    </xf>
    <xf numFmtId="4" fontId="94" fillId="16" borderId="159">
      <alignment horizontal="right" vertical="center"/>
    </xf>
    <xf numFmtId="0" fontId="94" fillId="16" borderId="160">
      <alignment horizontal="right" vertical="center"/>
    </xf>
    <xf numFmtId="4" fontId="94" fillId="16" borderId="160">
      <alignment horizontal="right" vertical="center"/>
    </xf>
    <xf numFmtId="0" fontId="94" fillId="16" borderId="161">
      <alignment horizontal="right" vertical="center"/>
    </xf>
    <xf numFmtId="4" fontId="94" fillId="16" borderId="161">
      <alignment horizontal="right" vertical="center"/>
    </xf>
    <xf numFmtId="0" fontId="105" fillId="72" borderId="151" applyNumberFormat="0" applyAlignment="0" applyProtection="0"/>
    <xf numFmtId="0" fontId="61" fillId="16" borderId="162">
      <alignment horizontal="left" vertical="center" wrapText="1" indent="2"/>
    </xf>
    <xf numFmtId="0" fontId="61" fillId="0" borderId="162">
      <alignment horizontal="left" vertical="center" wrapText="1" indent="2"/>
    </xf>
    <xf numFmtId="0" fontId="61" fillId="49" borderId="160">
      <alignment horizontal="left" vertical="center"/>
    </xf>
    <xf numFmtId="0" fontId="111" fillId="0" borderId="0" applyNumberFormat="0" applyFill="0" applyBorder="0" applyAlignment="0" applyProtection="0"/>
    <xf numFmtId="0" fontId="117" fillId="59" borderId="151" applyNumberFormat="0" applyAlignment="0" applyProtection="0"/>
    <xf numFmtId="0" fontId="61" fillId="0" borderId="159">
      <alignment horizontal="right" vertical="center"/>
    </xf>
    <xf numFmtId="4" fontId="61" fillId="0" borderId="159">
      <alignment horizontal="right" vertical="center"/>
    </xf>
    <xf numFmtId="0" fontId="7" fillId="0" borderId="0"/>
    <xf numFmtId="0" fontId="61" fillId="0" borderId="159" applyNumberFormat="0" applyFill="0" applyAlignment="0" applyProtection="0"/>
    <xf numFmtId="0" fontId="121" fillId="72" borderId="150" applyNumberFormat="0" applyAlignment="0" applyProtection="0"/>
    <xf numFmtId="182" fontId="61" fillId="76" borderId="159" applyNumberFormat="0" applyFont="0" applyBorder="0" applyAlignment="0" applyProtection="0">
      <alignment horizontal="right" vertical="center"/>
    </xf>
    <xf numFmtId="0" fontId="61" fillId="50" borderId="159"/>
    <xf numFmtId="4" fontId="61" fillId="50" borderId="159"/>
    <xf numFmtId="0" fontId="124" fillId="0" borderId="153" applyNumberFormat="0" applyFill="0" applyAlignment="0" applyProtection="0"/>
    <xf numFmtId="0" fontId="13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4" fillId="20" borderId="139" applyNumberFormat="0" applyAlignment="0" applyProtection="0"/>
    <xf numFmtId="0" fontId="61" fillId="49" borderId="0" applyBorder="0">
      <alignment horizontal="right" vertical="center"/>
    </xf>
    <xf numFmtId="0" fontId="61" fillId="49" borderId="0" applyBorder="0">
      <alignment horizontal="right" vertical="center"/>
    </xf>
    <xf numFmtId="0" fontId="61" fillId="0" borderId="0" applyBorder="0">
      <alignment horizontal="right" vertical="center"/>
    </xf>
    <xf numFmtId="0" fontId="39" fillId="0" borderId="0"/>
    <xf numFmtId="49" fontId="61" fillId="0" borderId="159" applyNumberFormat="0" applyFont="0" applyFill="0" applyBorder="0" applyProtection="0">
      <alignment horizontal="left" vertical="center" indent="2"/>
    </xf>
    <xf numFmtId="49" fontId="61" fillId="0" borderId="160" applyNumberFormat="0" applyFont="0" applyFill="0" applyBorder="0" applyProtection="0">
      <alignment horizontal="left" vertical="center" indent="5"/>
    </xf>
    <xf numFmtId="0" fontId="100" fillId="68" borderId="0" applyNumberFormat="0" applyBorder="0" applyAlignment="0" applyProtection="0"/>
    <xf numFmtId="0" fontId="100" fillId="69" borderId="0" applyNumberFormat="0" applyBorder="0" applyAlignment="0" applyProtection="0"/>
    <xf numFmtId="0" fontId="100" fillId="70" borderId="0" applyNumberFormat="0" applyBorder="0" applyAlignment="0" applyProtection="0"/>
    <xf numFmtId="0" fontId="100" fillId="65" borderId="0" applyNumberFormat="0" applyBorder="0" applyAlignment="0" applyProtection="0"/>
    <xf numFmtId="0" fontId="100" fillId="66" borderId="0" applyNumberFormat="0" applyBorder="0" applyAlignment="0" applyProtection="0"/>
    <xf numFmtId="0" fontId="100" fillId="71" borderId="0" applyNumberFormat="0" applyBorder="0" applyAlignment="0" applyProtection="0"/>
    <xf numFmtId="0" fontId="113" fillId="56" borderId="0" applyNumberFormat="0" applyBorder="0" applyAlignment="0" applyProtection="0"/>
    <xf numFmtId="4" fontId="39" fillId="0" borderId="0"/>
    <xf numFmtId="0" fontId="39" fillId="0" borderId="0"/>
    <xf numFmtId="0" fontId="7" fillId="0" borderId="0"/>
    <xf numFmtId="4" fontId="61" fillId="0" borderId="159" applyFill="0" applyBorder="0" applyProtection="0">
      <alignment horizontal="right" vertical="center"/>
    </xf>
    <xf numFmtId="49" fontId="62" fillId="0" borderId="159" applyNumberFormat="0" applyFill="0" applyBorder="0" applyProtection="0">
      <alignment horizontal="left" vertical="center"/>
    </xf>
    <xf numFmtId="0" fontId="39" fillId="50" borderId="0" applyNumberFormat="0" applyFont="0" applyBorder="0" applyAlignment="0" applyProtection="0"/>
    <xf numFmtId="0" fontId="122" fillId="55" borderId="0" applyNumberFormat="0" applyBorder="0" applyAlignment="0" applyProtection="0"/>
    <xf numFmtId="0" fontId="126" fillId="0" borderId="154" applyNumberFormat="0" applyFill="0" applyAlignment="0" applyProtection="0"/>
    <xf numFmtId="0" fontId="127" fillId="0" borderId="155" applyNumberFormat="0" applyFill="0" applyAlignment="0" applyProtection="0"/>
    <xf numFmtId="0" fontId="128" fillId="0" borderId="156" applyNumberFormat="0" applyFill="0" applyAlignment="0" applyProtection="0"/>
    <xf numFmtId="0" fontId="128" fillId="0" borderId="0" applyNumberFormat="0" applyFill="0" applyBorder="0" applyAlignment="0" applyProtection="0"/>
    <xf numFmtId="0" fontId="129" fillId="0" borderId="157" applyNumberFormat="0" applyFill="0" applyAlignment="0" applyProtection="0"/>
    <xf numFmtId="0" fontId="132" fillId="73" borderId="152" applyNumberFormat="0" applyAlignment="0" applyProtection="0"/>
    <xf numFmtId="0" fontId="98" fillId="0" borderId="0" applyNumberFormat="0" applyFill="0" applyBorder="0" applyAlignment="0" applyProtection="0"/>
    <xf numFmtId="0" fontId="7" fillId="0" borderId="0"/>
    <xf numFmtId="0" fontId="84" fillId="20" borderId="139" applyNumberFormat="0" applyAlignment="0" applyProtection="0"/>
    <xf numFmtId="0" fontId="97" fillId="54" borderId="0" applyNumberFormat="0" applyBorder="0" applyAlignment="0" applyProtection="0"/>
    <xf numFmtId="0" fontId="97" fillId="55" borderId="0" applyNumberFormat="0" applyBorder="0" applyAlignment="0" applyProtection="0"/>
    <xf numFmtId="0" fontId="97" fillId="56" borderId="0" applyNumberFormat="0" applyBorder="0" applyAlignment="0" applyProtection="0"/>
    <xf numFmtId="0" fontId="97" fillId="57" borderId="0" applyNumberFormat="0" applyBorder="0" applyAlignment="0" applyProtection="0"/>
    <xf numFmtId="0" fontId="97" fillId="58" borderId="0" applyNumberFormat="0" applyBorder="0" applyAlignment="0" applyProtection="0"/>
    <xf numFmtId="0" fontId="97" fillId="59" borderId="0" applyNumberFormat="0" applyBorder="0" applyAlignment="0" applyProtection="0"/>
    <xf numFmtId="0" fontId="97" fillId="60" borderId="0" applyNumberFormat="0" applyBorder="0" applyAlignment="0" applyProtection="0"/>
    <xf numFmtId="0" fontId="97" fillId="61" borderId="0" applyNumberFormat="0" applyBorder="0" applyAlignment="0" applyProtection="0"/>
    <xf numFmtId="0" fontId="97" fillId="62" borderId="0" applyNumberFormat="0" applyBorder="0" applyAlignment="0" applyProtection="0"/>
    <xf numFmtId="0" fontId="97" fillId="57" borderId="0" applyNumberFormat="0" applyBorder="0" applyAlignment="0" applyProtection="0"/>
    <xf numFmtId="0" fontId="97" fillId="60" borderId="0" applyNumberFormat="0" applyBorder="0" applyAlignment="0" applyProtection="0"/>
    <xf numFmtId="0" fontId="97" fillId="63" borderId="0" applyNumberFormat="0" applyBorder="0" applyAlignment="0" applyProtection="0"/>
    <xf numFmtId="0" fontId="100" fillId="64" borderId="0" applyNumberFormat="0" applyBorder="0" applyAlignment="0" applyProtection="0"/>
    <xf numFmtId="0" fontId="100" fillId="61" borderId="0" applyNumberFormat="0" applyBorder="0" applyAlignment="0" applyProtection="0"/>
    <xf numFmtId="0" fontId="100" fillId="62" borderId="0" applyNumberFormat="0" applyBorder="0" applyAlignment="0" applyProtection="0"/>
    <xf numFmtId="0" fontId="100" fillId="65" borderId="0" applyNumberFormat="0" applyBorder="0" applyAlignment="0" applyProtection="0"/>
    <xf numFmtId="0" fontId="100" fillId="66" borderId="0" applyNumberFormat="0" applyBorder="0" applyAlignment="0" applyProtection="0"/>
    <xf numFmtId="0" fontId="100" fillId="67" borderId="0" applyNumberFormat="0" applyBorder="0" applyAlignment="0" applyProtection="0"/>
    <xf numFmtId="0" fontId="102" fillId="72" borderId="150" applyNumberFormat="0" applyAlignment="0" applyProtection="0"/>
    <xf numFmtId="0" fontId="104" fillId="72" borderId="151" applyNumberFormat="0" applyAlignment="0" applyProtection="0"/>
    <xf numFmtId="0" fontId="109" fillId="0" borderId="153" applyNumberFormat="0" applyFill="0" applyAlignment="0" applyProtection="0"/>
    <xf numFmtId="0" fontId="110" fillId="0" borderId="0" applyNumberFormat="0" applyFill="0" applyBorder="0" applyAlignment="0" applyProtection="0"/>
    <xf numFmtId="0" fontId="7" fillId="0" borderId="0"/>
    <xf numFmtId="0" fontId="130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49" fontId="61" fillId="0" borderId="4" applyNumberFormat="0" applyFont="0" applyFill="0" applyBorder="0" applyProtection="0">
      <alignment horizontal="left" vertical="center" indent="2"/>
    </xf>
    <xf numFmtId="49" fontId="61" fillId="0" borderId="145" applyNumberFormat="0" applyFont="0" applyFill="0" applyBorder="0" applyProtection="0">
      <alignment horizontal="left" vertical="center" indent="5"/>
    </xf>
    <xf numFmtId="0" fontId="94" fillId="49" borderId="4">
      <alignment horizontal="right" vertical="center"/>
    </xf>
    <xf numFmtId="4" fontId="94" fillId="49" borderId="4">
      <alignment horizontal="right" vertical="center"/>
    </xf>
    <xf numFmtId="0" fontId="96" fillId="49" borderId="4">
      <alignment horizontal="right" vertical="center"/>
    </xf>
    <xf numFmtId="4" fontId="96" fillId="49" borderId="4">
      <alignment horizontal="right" vertical="center"/>
    </xf>
    <xf numFmtId="0" fontId="94" fillId="16" borderId="4">
      <alignment horizontal="right" vertical="center"/>
    </xf>
    <xf numFmtId="4" fontId="94" fillId="16" borderId="4">
      <alignment horizontal="right" vertical="center"/>
    </xf>
    <xf numFmtId="0" fontId="94" fillId="16" borderId="4">
      <alignment horizontal="right" vertical="center"/>
    </xf>
    <xf numFmtId="4" fontId="94" fillId="16" borderId="4">
      <alignment horizontal="right" vertical="center"/>
    </xf>
    <xf numFmtId="0" fontId="94" fillId="16" borderId="145">
      <alignment horizontal="right" vertical="center"/>
    </xf>
    <xf numFmtId="4" fontId="94" fillId="16" borderId="145">
      <alignment horizontal="right" vertical="center"/>
    </xf>
    <xf numFmtId="0" fontId="94" fillId="16" borderId="146">
      <alignment horizontal="right" vertical="center"/>
    </xf>
    <xf numFmtId="4" fontId="94" fillId="16" borderId="146">
      <alignment horizontal="right" vertical="center"/>
    </xf>
    <xf numFmtId="184" fontId="136" fillId="0" borderId="0" applyFont="0" applyFill="0" applyBorder="0" applyAlignment="0" applyProtection="0"/>
    <xf numFmtId="0" fontId="61" fillId="16" borderId="149">
      <alignment horizontal="left" vertical="center" wrapText="1" indent="2"/>
    </xf>
    <xf numFmtId="0" fontId="61" fillId="0" borderId="149">
      <alignment horizontal="left" vertical="center" wrapText="1" indent="2"/>
    </xf>
    <xf numFmtId="0" fontId="61" fillId="49" borderId="145">
      <alignment horizontal="left" vertical="center"/>
    </xf>
    <xf numFmtId="0" fontId="108" fillId="59" borderId="151" applyNumberFormat="0" applyAlignment="0" applyProtection="0"/>
    <xf numFmtId="0" fontId="61" fillId="0" borderId="4">
      <alignment horizontal="right" vertical="center"/>
    </xf>
    <xf numFmtId="4" fontId="61" fillId="0" borderId="4">
      <alignment horizontal="right" vertical="center"/>
    </xf>
    <xf numFmtId="0" fontId="136" fillId="0" borderId="0"/>
    <xf numFmtId="0" fontId="134" fillId="0" borderId="0"/>
    <xf numFmtId="0" fontId="1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4" fillId="0" borderId="0"/>
    <xf numFmtId="0" fontId="39" fillId="0" borderId="0"/>
    <xf numFmtId="4" fontId="61" fillId="0" borderId="4" applyFill="0" applyBorder="0" applyProtection="0">
      <alignment horizontal="right" vertical="center"/>
    </xf>
    <xf numFmtId="49" fontId="62" fillId="0" borderId="4" applyNumberFormat="0" applyFill="0" applyBorder="0" applyProtection="0">
      <alignment horizontal="left" vertical="center"/>
    </xf>
    <xf numFmtId="0" fontId="61" fillId="0" borderId="4" applyNumberFormat="0" applyFill="0" applyAlignment="0" applyProtection="0"/>
    <xf numFmtId="0" fontId="136" fillId="51" borderId="0" applyNumberFormat="0" applyFont="0" applyBorder="0" applyAlignment="0" applyProtection="0"/>
    <xf numFmtId="182" fontId="61" fillId="76" borderId="4" applyNumberFormat="0" applyFont="0" applyBorder="0" applyAlignment="0" applyProtection="0">
      <alignment horizontal="right" vertical="center"/>
    </xf>
    <xf numFmtId="9" fontId="136" fillId="0" borderId="0" applyFont="0" applyFill="0" applyBorder="0" applyAlignment="0" applyProtection="0"/>
    <xf numFmtId="0" fontId="61" fillId="50" borderId="4"/>
    <xf numFmtId="4" fontId="61" fillId="50" borderId="4"/>
    <xf numFmtId="0" fontId="61" fillId="16" borderId="162">
      <alignment horizontal="left" vertical="center" wrapText="1" indent="2"/>
    </xf>
    <xf numFmtId="0" fontId="61" fillId="0" borderId="162">
      <alignment horizontal="left" vertical="center" wrapText="1" indent="2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1" fillId="16" borderId="149">
      <alignment horizontal="left" vertical="center" wrapText="1" indent="2"/>
    </xf>
    <xf numFmtId="0" fontId="61" fillId="0" borderId="149">
      <alignment horizontal="left" vertical="center" wrapText="1" indent="2"/>
    </xf>
    <xf numFmtId="0" fontId="39" fillId="0" borderId="0"/>
    <xf numFmtId="4" fontId="94" fillId="16" borderId="159">
      <alignment horizontal="right" vertical="center"/>
    </xf>
    <xf numFmtId="0" fontId="61" fillId="50" borderId="159"/>
    <xf numFmtId="0" fontId="104" fillId="72" borderId="151" applyNumberFormat="0" applyAlignment="0" applyProtection="0"/>
    <xf numFmtId="0" fontId="94" fillId="49" borderId="159">
      <alignment horizontal="right" vertical="center"/>
    </xf>
    <xf numFmtId="0" fontId="61" fillId="0" borderId="159">
      <alignment horizontal="right" vertical="center"/>
    </xf>
    <xf numFmtId="0" fontId="124" fillId="0" borderId="153" applyNumberFormat="0" applyFill="0" applyAlignment="0" applyProtection="0"/>
    <xf numFmtId="0" fontId="61" fillId="49" borderId="160">
      <alignment horizontal="left" vertical="center"/>
    </xf>
    <xf numFmtId="0" fontId="117" fillId="59" borderId="151" applyNumberFormat="0" applyAlignment="0" applyProtection="0"/>
    <xf numFmtId="182" fontId="61" fillId="76" borderId="159" applyNumberFormat="0" applyFont="0" applyBorder="0" applyAlignment="0" applyProtection="0">
      <alignment horizontal="right" vertical="center"/>
    </xf>
    <xf numFmtId="0" fontId="99" fillId="75" borderId="158" applyNumberFormat="0" applyFont="0" applyAlignment="0" applyProtection="0"/>
    <xf numFmtId="0" fontId="61" fillId="0" borderId="162">
      <alignment horizontal="left" vertical="center" wrapText="1" indent="2"/>
    </xf>
    <xf numFmtId="4" fontId="61" fillId="50" borderId="159"/>
    <xf numFmtId="49" fontId="62" fillId="0" borderId="159" applyNumberFormat="0" applyFill="0" applyBorder="0" applyProtection="0">
      <alignment horizontal="left" vertical="center"/>
    </xf>
    <xf numFmtId="0" fontId="61" fillId="0" borderId="159">
      <alignment horizontal="right" vertical="center"/>
    </xf>
    <xf numFmtId="4" fontId="94" fillId="16" borderId="161">
      <alignment horizontal="right" vertical="center"/>
    </xf>
    <xf numFmtId="4" fontId="94" fillId="16" borderId="159">
      <alignment horizontal="right" vertical="center"/>
    </xf>
    <xf numFmtId="4" fontId="94" fillId="16" borderId="159">
      <alignment horizontal="right" vertical="center"/>
    </xf>
    <xf numFmtId="0" fontId="96" fillId="49" borderId="159">
      <alignment horizontal="right" vertical="center"/>
    </xf>
    <xf numFmtId="0" fontId="94" fillId="49" borderId="159">
      <alignment horizontal="right" vertical="center"/>
    </xf>
    <xf numFmtId="49" fontId="61" fillId="0" borderId="159" applyNumberFormat="0" applyFont="0" applyFill="0" applyBorder="0" applyProtection="0">
      <alignment horizontal="left" vertical="center" indent="2"/>
    </xf>
    <xf numFmtId="0" fontId="117" fillId="59" borderId="151" applyNumberFormat="0" applyAlignment="0" applyProtection="0"/>
    <xf numFmtId="0" fontId="102" fillId="72" borderId="150" applyNumberFormat="0" applyAlignment="0" applyProtection="0"/>
    <xf numFmtId="49" fontId="61" fillId="0" borderId="159" applyNumberFormat="0" applyFont="0" applyFill="0" applyBorder="0" applyProtection="0">
      <alignment horizontal="left" vertical="center" indent="2"/>
    </xf>
    <xf numFmtId="0" fontId="108" fillId="59" borderId="151" applyNumberFormat="0" applyAlignment="0" applyProtection="0"/>
    <xf numFmtId="4" fontId="61" fillId="0" borderId="159" applyFill="0" applyBorder="0" applyProtection="0">
      <alignment horizontal="right" vertical="center"/>
    </xf>
    <xf numFmtId="0" fontId="105" fillId="72" borderId="151" applyNumberFormat="0" applyAlignment="0" applyProtection="0"/>
    <xf numFmtId="0" fontId="124" fillId="0" borderId="153" applyNumberFormat="0" applyFill="0" applyAlignment="0" applyProtection="0"/>
    <xf numFmtId="0" fontId="121" fillId="72" borderId="150" applyNumberFormat="0" applyAlignment="0" applyProtection="0"/>
    <xf numFmtId="0" fontId="61" fillId="0" borderId="159" applyNumberFormat="0" applyFill="0" applyAlignment="0" applyProtection="0"/>
    <xf numFmtId="4" fontId="61" fillId="0" borderId="159">
      <alignment horizontal="right" vertical="center"/>
    </xf>
    <xf numFmtId="0" fontId="61" fillId="0" borderId="159">
      <alignment horizontal="right" vertical="center"/>
    </xf>
    <xf numFmtId="0" fontId="117" fillId="59" borderId="151" applyNumberFormat="0" applyAlignment="0" applyProtection="0"/>
    <xf numFmtId="0" fontId="102" fillId="72" borderId="150" applyNumberFormat="0" applyAlignment="0" applyProtection="0"/>
    <xf numFmtId="0" fontId="104" fillId="72" borderId="151" applyNumberFormat="0" applyAlignment="0" applyProtection="0"/>
    <xf numFmtId="0" fontId="61" fillId="16" borderId="162">
      <alignment horizontal="left" vertical="center" wrapText="1" indent="2"/>
    </xf>
    <xf numFmtId="0" fontId="105" fillId="72" borderId="151" applyNumberFormat="0" applyAlignment="0" applyProtection="0"/>
    <xf numFmtId="0" fontId="105" fillId="72" borderId="151" applyNumberFormat="0" applyAlignment="0" applyProtection="0"/>
    <xf numFmtId="4" fontId="94" fillId="16" borderId="160">
      <alignment horizontal="right" vertical="center"/>
    </xf>
    <xf numFmtId="0" fontId="94" fillId="16" borderId="160">
      <alignment horizontal="right" vertical="center"/>
    </xf>
    <xf numFmtId="0" fontId="94" fillId="16" borderId="159">
      <alignment horizontal="right" vertical="center"/>
    </xf>
    <xf numFmtId="4" fontId="96" fillId="49" borderId="159">
      <alignment horizontal="right" vertical="center"/>
    </xf>
    <xf numFmtId="0" fontId="108" fillId="59" borderId="151" applyNumberFormat="0" applyAlignment="0" applyProtection="0"/>
    <xf numFmtId="0" fontId="109" fillId="0" borderId="153" applyNumberFormat="0" applyFill="0" applyAlignment="0" applyProtection="0"/>
    <xf numFmtId="0" fontId="124" fillId="0" borderId="153" applyNumberFormat="0" applyFill="0" applyAlignment="0" applyProtection="0"/>
    <xf numFmtId="0" fontId="99" fillId="75" borderId="158" applyNumberFormat="0" applyFont="0" applyAlignment="0" applyProtection="0"/>
    <xf numFmtId="0" fontId="117" fillId="59" borderId="151" applyNumberFormat="0" applyAlignment="0" applyProtection="0"/>
    <xf numFmtId="49" fontId="62" fillId="0" borderId="159" applyNumberFormat="0" applyFill="0" applyBorder="0" applyProtection="0">
      <alignment horizontal="left" vertical="center"/>
    </xf>
    <xf numFmtId="0" fontId="61" fillId="16" borderId="162">
      <alignment horizontal="left" vertical="center" wrapText="1" indent="2"/>
    </xf>
    <xf numFmtId="0" fontId="105" fillId="72" borderId="151" applyNumberFormat="0" applyAlignment="0" applyProtection="0"/>
    <xf numFmtId="0" fontId="61" fillId="0" borderId="162">
      <alignment horizontal="left" vertical="center" wrapText="1" indent="2"/>
    </xf>
    <xf numFmtId="0" fontId="99" fillId="75" borderId="158" applyNumberFormat="0" applyFont="0" applyAlignment="0" applyProtection="0"/>
    <xf numFmtId="0" fontId="39" fillId="75" borderId="158" applyNumberFormat="0" applyFont="0" applyAlignment="0" applyProtection="0"/>
    <xf numFmtId="0" fontId="121" fillId="72" borderId="150" applyNumberFormat="0" applyAlignment="0" applyProtection="0"/>
    <xf numFmtId="0" fontId="124" fillId="0" borderId="153" applyNumberFormat="0" applyFill="0" applyAlignment="0" applyProtection="0"/>
    <xf numFmtId="4" fontId="61" fillId="50" borderId="159"/>
    <xf numFmtId="0" fontId="94" fillId="16" borderId="159">
      <alignment horizontal="right" vertical="center"/>
    </xf>
    <xf numFmtId="0" fontId="124" fillId="0" borderId="153" applyNumberFormat="0" applyFill="0" applyAlignment="0" applyProtection="0"/>
    <xf numFmtId="4" fontId="94" fillId="16" borderId="161">
      <alignment horizontal="right" vertical="center"/>
    </xf>
    <xf numFmtId="0" fontId="104" fillId="72" borderId="151" applyNumberFormat="0" applyAlignment="0" applyProtection="0"/>
    <xf numFmtId="0" fontId="94" fillId="16" borderId="160">
      <alignment horizontal="right" vertical="center"/>
    </xf>
    <xf numFmtId="0" fontId="105" fillId="72" borderId="151" applyNumberFormat="0" applyAlignment="0" applyProtection="0"/>
    <xf numFmtId="0" fontId="109" fillId="0" borderId="153" applyNumberFormat="0" applyFill="0" applyAlignment="0" applyProtection="0"/>
    <xf numFmtId="0" fontId="99" fillId="75" borderId="158" applyNumberFormat="0" applyFont="0" applyAlignment="0" applyProtection="0"/>
    <xf numFmtId="4" fontId="94" fillId="16" borderId="160">
      <alignment horizontal="right" vertical="center"/>
    </xf>
    <xf numFmtId="0" fontId="61" fillId="16" borderId="162">
      <alignment horizontal="left" vertical="center" wrapText="1" indent="2"/>
    </xf>
    <xf numFmtId="0" fontId="61" fillId="50" borderId="159"/>
    <xf numFmtId="182" fontId="61" fillId="76" borderId="159" applyNumberFormat="0" applyFont="0" applyBorder="0" applyAlignment="0" applyProtection="0">
      <alignment horizontal="right" vertical="center"/>
    </xf>
    <xf numFmtId="0" fontId="61" fillId="0" borderId="159" applyNumberFormat="0" applyFill="0" applyAlignment="0" applyProtection="0"/>
    <xf numFmtId="4" fontId="61" fillId="0" borderId="159" applyFill="0" applyBorder="0" applyProtection="0">
      <alignment horizontal="right" vertical="center"/>
    </xf>
    <xf numFmtId="4" fontId="94" fillId="49" borderId="159">
      <alignment horizontal="right" vertical="center"/>
    </xf>
    <xf numFmtId="0" fontId="109" fillId="0" borderId="153" applyNumberFormat="0" applyFill="0" applyAlignment="0" applyProtection="0"/>
    <xf numFmtId="49" fontId="62" fillId="0" borderId="159" applyNumberFormat="0" applyFill="0" applyBorder="0" applyProtection="0">
      <alignment horizontal="left" vertical="center"/>
    </xf>
    <xf numFmtId="49" fontId="61" fillId="0" borderId="160" applyNumberFormat="0" applyFont="0" applyFill="0" applyBorder="0" applyProtection="0">
      <alignment horizontal="left" vertical="center" indent="5"/>
    </xf>
    <xf numFmtId="0" fontId="61" fillId="49" borderId="160">
      <alignment horizontal="left" vertical="center"/>
    </xf>
    <xf numFmtId="0" fontId="105" fillId="72" borderId="151" applyNumberFormat="0" applyAlignment="0" applyProtection="0"/>
    <xf numFmtId="4" fontId="94" fillId="16" borderId="161">
      <alignment horizontal="right" vertical="center"/>
    </xf>
    <xf numFmtId="0" fontId="117" fillId="59" borderId="151" applyNumberFormat="0" applyAlignment="0" applyProtection="0"/>
    <xf numFmtId="0" fontId="117" fillId="59" borderId="151" applyNumberFormat="0" applyAlignment="0" applyProtection="0"/>
    <xf numFmtId="0" fontId="99" fillId="75" borderId="158" applyNumberFormat="0" applyFont="0" applyAlignment="0" applyProtection="0"/>
    <xf numFmtId="0" fontId="121" fillId="72" borderId="150" applyNumberFormat="0" applyAlignment="0" applyProtection="0"/>
    <xf numFmtId="0" fontId="124" fillId="0" borderId="153" applyNumberFormat="0" applyFill="0" applyAlignment="0" applyProtection="0"/>
    <xf numFmtId="0" fontId="94" fillId="16" borderId="159">
      <alignment horizontal="right" vertical="center"/>
    </xf>
    <xf numFmtId="0" fontId="39" fillId="75" borderId="158" applyNumberFormat="0" applyFont="0" applyAlignment="0" applyProtection="0"/>
    <xf numFmtId="4" fontId="61" fillId="0" borderId="159">
      <alignment horizontal="right" vertical="center"/>
    </xf>
    <xf numFmtId="0" fontId="124" fillId="0" borderId="153" applyNumberFormat="0" applyFill="0" applyAlignment="0" applyProtection="0"/>
    <xf numFmtId="0" fontId="94" fillId="16" borderId="159">
      <alignment horizontal="right" vertical="center"/>
    </xf>
    <xf numFmtId="0" fontId="94" fillId="16" borderId="159">
      <alignment horizontal="right" vertical="center"/>
    </xf>
    <xf numFmtId="4" fontId="96" fillId="49" borderId="159">
      <alignment horizontal="right" vertical="center"/>
    </xf>
    <xf numFmtId="0" fontId="94" fillId="49" borderId="159">
      <alignment horizontal="right" vertical="center"/>
    </xf>
    <xf numFmtId="4" fontId="94" fillId="49" borderId="159">
      <alignment horizontal="right" vertical="center"/>
    </xf>
    <xf numFmtId="0" fontId="96" fillId="49" borderId="159">
      <alignment horizontal="right" vertical="center"/>
    </xf>
    <xf numFmtId="4" fontId="96" fillId="49" borderId="159">
      <alignment horizontal="right" vertical="center"/>
    </xf>
    <xf numFmtId="0" fontId="94" fillId="16" borderId="159">
      <alignment horizontal="right" vertical="center"/>
    </xf>
    <xf numFmtId="4" fontId="94" fillId="16" borderId="159">
      <alignment horizontal="right" vertical="center"/>
    </xf>
    <xf numFmtId="0" fontId="94" fillId="16" borderId="159">
      <alignment horizontal="right" vertical="center"/>
    </xf>
    <xf numFmtId="4" fontId="94" fillId="16" borderId="159">
      <alignment horizontal="right" vertical="center"/>
    </xf>
    <xf numFmtId="0" fontId="94" fillId="16" borderId="160">
      <alignment horizontal="right" vertical="center"/>
    </xf>
    <xf numFmtId="4" fontId="94" fillId="16" borderId="160">
      <alignment horizontal="right" vertical="center"/>
    </xf>
    <xf numFmtId="0" fontId="94" fillId="16" borderId="161">
      <alignment horizontal="right" vertical="center"/>
    </xf>
    <xf numFmtId="4" fontId="94" fillId="16" borderId="161">
      <alignment horizontal="right" vertical="center"/>
    </xf>
    <xf numFmtId="0" fontId="105" fillId="72" borderId="151" applyNumberFormat="0" applyAlignment="0" applyProtection="0"/>
    <xf numFmtId="0" fontId="61" fillId="16" borderId="162">
      <alignment horizontal="left" vertical="center" wrapText="1" indent="2"/>
    </xf>
    <xf numFmtId="0" fontId="61" fillId="0" borderId="162">
      <alignment horizontal="left" vertical="center" wrapText="1" indent="2"/>
    </xf>
    <xf numFmtId="0" fontId="61" fillId="49" borderId="160">
      <alignment horizontal="left" vertical="center"/>
    </xf>
    <xf numFmtId="0" fontId="117" fillId="59" borderId="151" applyNumberFormat="0" applyAlignment="0" applyProtection="0"/>
    <xf numFmtId="0" fontId="61" fillId="0" borderId="159">
      <alignment horizontal="right" vertical="center"/>
    </xf>
    <xf numFmtId="4" fontId="61" fillId="0" borderId="159">
      <alignment horizontal="right" vertical="center"/>
    </xf>
    <xf numFmtId="0" fontId="61" fillId="0" borderId="159" applyNumberFormat="0" applyFill="0" applyAlignment="0" applyProtection="0"/>
    <xf numFmtId="0" fontId="121" fillId="72" borderId="150" applyNumberFormat="0" applyAlignment="0" applyProtection="0"/>
    <xf numFmtId="182" fontId="61" fillId="76" borderId="159" applyNumberFormat="0" applyFont="0" applyBorder="0" applyAlignment="0" applyProtection="0">
      <alignment horizontal="right" vertical="center"/>
    </xf>
    <xf numFmtId="0" fontId="61" fillId="50" borderId="159"/>
    <xf numFmtId="4" fontId="61" fillId="50" borderId="159"/>
    <xf numFmtId="0" fontId="124" fillId="0" borderId="153" applyNumberFormat="0" applyFill="0" applyAlignment="0" applyProtection="0"/>
    <xf numFmtId="0" fontId="39" fillId="75" borderId="158" applyNumberFormat="0" applyFont="0" applyAlignment="0" applyProtection="0"/>
    <xf numFmtId="0" fontId="99" fillId="75" borderId="158" applyNumberFormat="0" applyFont="0" applyAlignment="0" applyProtection="0"/>
    <xf numFmtId="0" fontId="61" fillId="0" borderId="159" applyNumberFormat="0" applyFill="0" applyAlignment="0" applyProtection="0"/>
    <xf numFmtId="0" fontId="109" fillId="0" borderId="153" applyNumberFormat="0" applyFill="0" applyAlignment="0" applyProtection="0"/>
    <xf numFmtId="0" fontId="124" fillId="0" borderId="153" applyNumberFormat="0" applyFill="0" applyAlignment="0" applyProtection="0"/>
    <xf numFmtId="0" fontId="108" fillId="59" borderId="151" applyNumberFormat="0" applyAlignment="0" applyProtection="0"/>
    <xf numFmtId="0" fontId="105" fillId="72" borderId="151" applyNumberFormat="0" applyAlignment="0" applyProtection="0"/>
    <xf numFmtId="4" fontId="96" fillId="49" borderId="159">
      <alignment horizontal="right" vertical="center"/>
    </xf>
    <xf numFmtId="0" fontId="94" fillId="49" borderId="159">
      <alignment horizontal="right" vertical="center"/>
    </xf>
    <xf numFmtId="182" fontId="61" fillId="76" borderId="159" applyNumberFormat="0" applyFont="0" applyBorder="0" applyAlignment="0" applyProtection="0">
      <alignment horizontal="right" vertical="center"/>
    </xf>
    <xf numFmtId="0" fontId="109" fillId="0" borderId="153" applyNumberFormat="0" applyFill="0" applyAlignment="0" applyProtection="0"/>
    <xf numFmtId="49" fontId="61" fillId="0" borderId="159" applyNumberFormat="0" applyFont="0" applyFill="0" applyBorder="0" applyProtection="0">
      <alignment horizontal="left" vertical="center" indent="2"/>
    </xf>
    <xf numFmtId="49" fontId="61" fillId="0" borderId="160" applyNumberFormat="0" applyFont="0" applyFill="0" applyBorder="0" applyProtection="0">
      <alignment horizontal="left" vertical="center" indent="5"/>
    </xf>
    <xf numFmtId="49" fontId="61" fillId="0" borderId="159" applyNumberFormat="0" applyFont="0" applyFill="0" applyBorder="0" applyProtection="0">
      <alignment horizontal="left" vertical="center" indent="2"/>
    </xf>
    <xf numFmtId="4" fontId="61" fillId="0" borderId="159" applyFill="0" applyBorder="0" applyProtection="0">
      <alignment horizontal="right" vertical="center"/>
    </xf>
    <xf numFmtId="49" fontId="62" fillId="0" borderId="159" applyNumberFormat="0" applyFill="0" applyBorder="0" applyProtection="0">
      <alignment horizontal="left" vertical="center"/>
    </xf>
    <xf numFmtId="0" fontId="61" fillId="0" borderId="162">
      <alignment horizontal="left" vertical="center" wrapText="1" indent="2"/>
    </xf>
    <xf numFmtId="0" fontId="121" fillId="72" borderId="150" applyNumberFormat="0" applyAlignment="0" applyProtection="0"/>
    <xf numFmtId="0" fontId="94" fillId="16" borderId="161">
      <alignment horizontal="right" vertical="center"/>
    </xf>
    <xf numFmtId="0" fontId="108" fillId="59" borderId="151" applyNumberFormat="0" applyAlignment="0" applyProtection="0"/>
    <xf numFmtId="0" fontId="94" fillId="16" borderId="161">
      <alignment horizontal="right" vertical="center"/>
    </xf>
    <xf numFmtId="4" fontId="94" fillId="16" borderId="159">
      <alignment horizontal="right" vertical="center"/>
    </xf>
    <xf numFmtId="0" fontId="94" fillId="16" borderId="159">
      <alignment horizontal="right" vertical="center"/>
    </xf>
    <xf numFmtId="0" fontId="102" fillId="72" borderId="150" applyNumberFormat="0" applyAlignment="0" applyProtection="0"/>
    <xf numFmtId="0" fontId="104" fillId="72" borderId="151" applyNumberFormat="0" applyAlignment="0" applyProtection="0"/>
    <xf numFmtId="0" fontId="109" fillId="0" borderId="153" applyNumberFormat="0" applyFill="0" applyAlignment="0" applyProtection="0"/>
    <xf numFmtId="0" fontId="61" fillId="50" borderId="159"/>
    <xf numFmtId="4" fontId="61" fillId="50" borderId="159"/>
    <xf numFmtId="4" fontId="94" fillId="16" borderId="159">
      <alignment horizontal="right" vertical="center"/>
    </xf>
    <xf numFmtId="0" fontId="96" fillId="49" borderId="159">
      <alignment horizontal="right" vertical="center"/>
    </xf>
    <xf numFmtId="0" fontId="108" fillId="59" borderId="151" applyNumberFormat="0" applyAlignment="0" applyProtection="0"/>
    <xf numFmtId="0" fontId="105" fillId="72" borderId="151" applyNumberFormat="0" applyAlignment="0" applyProtection="0"/>
    <xf numFmtId="4" fontId="61" fillId="0" borderId="159">
      <alignment horizontal="right" vertical="center"/>
    </xf>
    <xf numFmtId="0" fontId="61" fillId="16" borderId="162">
      <alignment horizontal="left" vertical="center" wrapText="1" indent="2"/>
    </xf>
    <xf numFmtId="0" fontId="61" fillId="0" borderId="162">
      <alignment horizontal="left" vertical="center" wrapText="1" indent="2"/>
    </xf>
    <xf numFmtId="0" fontId="121" fillId="72" borderId="150" applyNumberFormat="0" applyAlignment="0" applyProtection="0"/>
    <xf numFmtId="0" fontId="117" fillId="59" borderId="151" applyNumberFormat="0" applyAlignment="0" applyProtection="0"/>
    <xf numFmtId="0" fontId="104" fillId="72" borderId="151" applyNumberFormat="0" applyAlignment="0" applyProtection="0"/>
    <xf numFmtId="0" fontId="102" fillId="72" borderId="150" applyNumberFormat="0" applyAlignment="0" applyProtection="0"/>
    <xf numFmtId="0" fontId="94" fillId="16" borderId="161">
      <alignment horizontal="right" vertical="center"/>
    </xf>
    <xf numFmtId="0" fontId="96" fillId="49" borderId="159">
      <alignment horizontal="right" vertical="center"/>
    </xf>
    <xf numFmtId="4" fontId="94" fillId="49" borderId="159">
      <alignment horizontal="right" vertical="center"/>
    </xf>
    <xf numFmtId="4" fontId="94" fillId="16" borderId="159">
      <alignment horizontal="right" vertical="center"/>
    </xf>
    <xf numFmtId="49" fontId="61" fillId="0" borderId="160" applyNumberFormat="0" applyFont="0" applyFill="0" applyBorder="0" applyProtection="0">
      <alignment horizontal="left" vertical="center" indent="5"/>
    </xf>
    <xf numFmtId="4" fontId="61" fillId="0" borderId="159" applyFill="0" applyBorder="0" applyProtection="0">
      <alignment horizontal="right" vertical="center"/>
    </xf>
    <xf numFmtId="4" fontId="94" fillId="49" borderId="159">
      <alignment horizontal="right" vertical="center"/>
    </xf>
    <xf numFmtId="0" fontId="39" fillId="0" borderId="0"/>
    <xf numFmtId="0" fontId="117" fillId="59" borderId="151" applyNumberFormat="0" applyAlignment="0" applyProtection="0"/>
    <xf numFmtId="0" fontId="108" fillId="59" borderId="151" applyNumberFormat="0" applyAlignment="0" applyProtection="0"/>
    <xf numFmtId="0" fontId="104" fillId="72" borderId="151" applyNumberFormat="0" applyAlignment="0" applyProtection="0"/>
    <xf numFmtId="0" fontId="61" fillId="16" borderId="162">
      <alignment horizontal="left" vertical="center" wrapText="1" indent="2"/>
    </xf>
    <xf numFmtId="0" fontId="61" fillId="0" borderId="162">
      <alignment horizontal="left" vertical="center" wrapText="1" indent="2"/>
    </xf>
    <xf numFmtId="0" fontId="61" fillId="16" borderId="162">
      <alignment horizontal="left" vertical="center" wrapText="1" indent="2"/>
    </xf>
    <xf numFmtId="0" fontId="61" fillId="0" borderId="162">
      <alignment horizontal="left" vertical="center" wrapText="1" indent="2"/>
    </xf>
    <xf numFmtId="0" fontId="102" fillId="72" borderId="150" applyNumberFormat="0" applyAlignment="0" applyProtection="0"/>
    <xf numFmtId="0" fontId="104" fillId="72" borderId="151" applyNumberFormat="0" applyAlignment="0" applyProtection="0"/>
    <xf numFmtId="0" fontId="105" fillId="72" borderId="151" applyNumberFormat="0" applyAlignment="0" applyProtection="0"/>
    <xf numFmtId="0" fontId="108" fillId="59" borderId="151" applyNumberFormat="0" applyAlignment="0" applyProtection="0"/>
    <xf numFmtId="0" fontId="109" fillId="0" borderId="153" applyNumberFormat="0" applyFill="0" applyAlignment="0" applyProtection="0"/>
    <xf numFmtId="0" fontId="117" fillId="59" borderId="151" applyNumberFormat="0" applyAlignment="0" applyProtection="0"/>
    <xf numFmtId="0" fontId="99" fillId="75" borderId="158" applyNumberFormat="0" applyFont="0" applyAlignment="0" applyProtection="0"/>
    <xf numFmtId="0" fontId="39" fillId="75" borderId="158" applyNumberFormat="0" applyFont="0" applyAlignment="0" applyProtection="0"/>
    <xf numFmtId="0" fontId="121" fillId="72" borderId="150" applyNumberFormat="0" applyAlignment="0" applyProtection="0"/>
    <xf numFmtId="0" fontId="124" fillId="0" borderId="153" applyNumberFormat="0" applyFill="0" applyAlignment="0" applyProtection="0"/>
    <xf numFmtId="0" fontId="105" fillId="72" borderId="151" applyNumberFormat="0" applyAlignment="0" applyProtection="0"/>
    <xf numFmtId="0" fontId="117" fillId="59" borderId="151" applyNumberFormat="0" applyAlignment="0" applyProtection="0"/>
    <xf numFmtId="0" fontId="99" fillId="75" borderId="158" applyNumberFormat="0" applyFont="0" applyAlignment="0" applyProtection="0"/>
    <xf numFmtId="0" fontId="121" fillId="72" borderId="150" applyNumberFormat="0" applyAlignment="0" applyProtection="0"/>
    <xf numFmtId="0" fontId="124" fillId="0" borderId="153" applyNumberFormat="0" applyFill="0" applyAlignment="0" applyProtection="0"/>
    <xf numFmtId="0" fontId="94" fillId="16" borderId="145">
      <alignment horizontal="right" vertical="center"/>
    </xf>
    <xf numFmtId="4" fontId="94" fillId="16" borderId="145">
      <alignment horizontal="right" vertical="center"/>
    </xf>
    <xf numFmtId="0" fontId="94" fillId="16" borderId="146">
      <alignment horizontal="right" vertical="center"/>
    </xf>
    <xf numFmtId="4" fontId="94" fillId="16" borderId="146">
      <alignment horizontal="right" vertical="center"/>
    </xf>
    <xf numFmtId="0" fontId="105" fillId="72" borderId="151" applyNumberFormat="0" applyAlignment="0" applyProtection="0"/>
    <xf numFmtId="0" fontId="61" fillId="16" borderId="149">
      <alignment horizontal="left" vertical="center" wrapText="1" indent="2"/>
    </xf>
    <xf numFmtId="0" fontId="61" fillId="0" borderId="149">
      <alignment horizontal="left" vertical="center" wrapText="1" indent="2"/>
    </xf>
    <xf numFmtId="0" fontId="61" fillId="49" borderId="145">
      <alignment horizontal="left" vertical="center"/>
    </xf>
    <xf numFmtId="0" fontId="117" fillId="59" borderId="151" applyNumberFormat="0" applyAlignment="0" applyProtection="0"/>
    <xf numFmtId="0" fontId="121" fillId="72" borderId="150" applyNumberFormat="0" applyAlignment="0" applyProtection="0"/>
    <xf numFmtId="0" fontId="124" fillId="0" borderId="153" applyNumberFormat="0" applyFill="0" applyAlignment="0" applyProtection="0"/>
    <xf numFmtId="49" fontId="61" fillId="0" borderId="145" applyNumberFormat="0" applyFont="0" applyFill="0" applyBorder="0" applyProtection="0">
      <alignment horizontal="left" vertical="center" indent="5"/>
    </xf>
    <xf numFmtId="0" fontId="102" fillId="72" borderId="150" applyNumberFormat="0" applyAlignment="0" applyProtection="0"/>
    <xf numFmtId="0" fontId="104" fillId="72" borderId="151" applyNumberFormat="0" applyAlignment="0" applyProtection="0"/>
    <xf numFmtId="0" fontId="109" fillId="0" borderId="153" applyNumberFormat="0" applyFill="0" applyAlignment="0" applyProtection="0"/>
    <xf numFmtId="49" fontId="61" fillId="0" borderId="159" applyNumberFormat="0" applyFont="0" applyFill="0" applyBorder="0" applyProtection="0">
      <alignment horizontal="left" vertical="center" indent="2"/>
    </xf>
    <xf numFmtId="0" fontId="94" fillId="49" borderId="159">
      <alignment horizontal="right" vertical="center"/>
    </xf>
    <xf numFmtId="4" fontId="94" fillId="49" borderId="159">
      <alignment horizontal="right" vertical="center"/>
    </xf>
    <xf numFmtId="0" fontId="96" fillId="49" borderId="159">
      <alignment horizontal="right" vertical="center"/>
    </xf>
    <xf numFmtId="4" fontId="96" fillId="49" borderId="159">
      <alignment horizontal="right" vertical="center"/>
    </xf>
    <xf numFmtId="0" fontId="94" fillId="16" borderId="159">
      <alignment horizontal="right" vertical="center"/>
    </xf>
    <xf numFmtId="4" fontId="94" fillId="16" borderId="159">
      <alignment horizontal="right" vertical="center"/>
    </xf>
    <xf numFmtId="0" fontId="94" fillId="16" borderId="159">
      <alignment horizontal="right" vertical="center"/>
    </xf>
    <xf numFmtId="4" fontId="94" fillId="16" borderId="159">
      <alignment horizontal="right" vertical="center"/>
    </xf>
    <xf numFmtId="0" fontId="108" fillId="59" borderId="151" applyNumberFormat="0" applyAlignment="0" applyProtection="0"/>
    <xf numFmtId="0" fontId="61" fillId="0" borderId="159">
      <alignment horizontal="right" vertical="center"/>
    </xf>
    <xf numFmtId="4" fontId="61" fillId="0" borderId="159">
      <alignment horizontal="right" vertical="center"/>
    </xf>
    <xf numFmtId="4" fontId="61" fillId="0" borderId="159" applyFill="0" applyBorder="0" applyProtection="0">
      <alignment horizontal="right" vertical="center"/>
    </xf>
    <xf numFmtId="49" fontId="62" fillId="0" borderId="159" applyNumberFormat="0" applyFill="0" applyBorder="0" applyProtection="0">
      <alignment horizontal="left" vertical="center"/>
    </xf>
    <xf numFmtId="0" fontId="61" fillId="0" borderId="159" applyNumberFormat="0" applyFill="0" applyAlignment="0" applyProtection="0"/>
    <xf numFmtId="182" fontId="61" fillId="76" borderId="159" applyNumberFormat="0" applyFont="0" applyBorder="0" applyAlignment="0" applyProtection="0">
      <alignment horizontal="right" vertical="center"/>
    </xf>
    <xf numFmtId="0" fontId="61" fillId="50" borderId="159"/>
    <xf numFmtId="4" fontId="61" fillId="50" borderId="159"/>
    <xf numFmtId="4" fontId="94" fillId="16" borderId="159">
      <alignment horizontal="right" vertical="center"/>
    </xf>
    <xf numFmtId="0" fontId="61" fillId="50" borderId="159"/>
    <xf numFmtId="0" fontId="104" fillId="72" borderId="151" applyNumberFormat="0" applyAlignment="0" applyProtection="0"/>
    <xf numFmtId="0" fontId="94" fillId="49" borderId="159">
      <alignment horizontal="right" vertical="center"/>
    </xf>
    <xf numFmtId="0" fontId="61" fillId="0" borderId="159">
      <alignment horizontal="right" vertical="center"/>
    </xf>
    <xf numFmtId="0" fontId="124" fillId="0" borderId="153" applyNumberFormat="0" applyFill="0" applyAlignment="0" applyProtection="0"/>
    <xf numFmtId="0" fontId="61" fillId="49" borderId="160">
      <alignment horizontal="left" vertical="center"/>
    </xf>
    <xf numFmtId="0" fontId="117" fillId="59" borderId="151" applyNumberFormat="0" applyAlignment="0" applyProtection="0"/>
    <xf numFmtId="182" fontId="61" fillId="76" borderId="159" applyNumberFormat="0" applyFont="0" applyBorder="0" applyAlignment="0" applyProtection="0">
      <alignment horizontal="right" vertical="center"/>
    </xf>
    <xf numFmtId="0" fontId="99" fillId="75" borderId="158" applyNumberFormat="0" applyFont="0" applyAlignment="0" applyProtection="0"/>
    <xf numFmtId="0" fontId="61" fillId="0" borderId="162">
      <alignment horizontal="left" vertical="center" wrapText="1" indent="2"/>
    </xf>
    <xf numFmtId="4" fontId="61" fillId="50" borderId="159"/>
    <xf numFmtId="49" fontId="62" fillId="0" borderId="159" applyNumberFormat="0" applyFill="0" applyBorder="0" applyProtection="0">
      <alignment horizontal="left" vertical="center"/>
    </xf>
    <xf numFmtId="0" fontId="61" fillId="0" borderId="159">
      <alignment horizontal="right" vertical="center"/>
    </xf>
    <xf numFmtId="4" fontId="94" fillId="16" borderId="161">
      <alignment horizontal="right" vertical="center"/>
    </xf>
    <xf numFmtId="4" fontId="94" fillId="16" borderId="159">
      <alignment horizontal="right" vertical="center"/>
    </xf>
    <xf numFmtId="4" fontId="94" fillId="16" borderId="159">
      <alignment horizontal="right" vertical="center"/>
    </xf>
    <xf numFmtId="0" fontId="96" fillId="49" borderId="159">
      <alignment horizontal="right" vertical="center"/>
    </xf>
    <xf numFmtId="0" fontId="94" fillId="49" borderId="159">
      <alignment horizontal="right" vertical="center"/>
    </xf>
    <xf numFmtId="49" fontId="61" fillId="0" borderId="159" applyNumberFormat="0" applyFont="0" applyFill="0" applyBorder="0" applyProtection="0">
      <alignment horizontal="left" vertical="center" indent="2"/>
    </xf>
    <xf numFmtId="0" fontId="117" fillId="59" borderId="151" applyNumberFormat="0" applyAlignment="0" applyProtection="0"/>
    <xf numFmtId="0" fontId="102" fillId="72" borderId="150" applyNumberFormat="0" applyAlignment="0" applyProtection="0"/>
    <xf numFmtId="49" fontId="61" fillId="0" borderId="159" applyNumberFormat="0" applyFont="0" applyFill="0" applyBorder="0" applyProtection="0">
      <alignment horizontal="left" vertical="center" indent="2"/>
    </xf>
    <xf numFmtId="0" fontId="108" fillId="59" borderId="151" applyNumberFormat="0" applyAlignment="0" applyProtection="0"/>
    <xf numFmtId="4" fontId="61" fillId="0" borderId="159" applyFill="0" applyBorder="0" applyProtection="0">
      <alignment horizontal="right" vertical="center"/>
    </xf>
    <xf numFmtId="0" fontId="105" fillId="72" borderId="151" applyNumberFormat="0" applyAlignment="0" applyProtection="0"/>
    <xf numFmtId="0" fontId="124" fillId="0" borderId="153" applyNumberFormat="0" applyFill="0" applyAlignment="0" applyProtection="0"/>
    <xf numFmtId="0" fontId="121" fillId="72" borderId="150" applyNumberFormat="0" applyAlignment="0" applyProtection="0"/>
    <xf numFmtId="0" fontId="61" fillId="0" borderId="159" applyNumberFormat="0" applyFill="0" applyAlignment="0" applyProtection="0"/>
    <xf numFmtId="4" fontId="61" fillId="0" borderId="159">
      <alignment horizontal="right" vertical="center"/>
    </xf>
    <xf numFmtId="0" fontId="61" fillId="0" borderId="159">
      <alignment horizontal="right" vertical="center"/>
    </xf>
    <xf numFmtId="0" fontId="117" fillId="59" borderId="151" applyNumberFormat="0" applyAlignment="0" applyProtection="0"/>
    <xf numFmtId="0" fontId="102" fillId="72" borderId="150" applyNumberFormat="0" applyAlignment="0" applyProtection="0"/>
    <xf numFmtId="0" fontId="104" fillId="72" borderId="151" applyNumberFormat="0" applyAlignment="0" applyProtection="0"/>
    <xf numFmtId="0" fontId="61" fillId="16" borderId="162">
      <alignment horizontal="left" vertical="center" wrapText="1" indent="2"/>
    </xf>
    <xf numFmtId="0" fontId="105" fillId="72" borderId="151" applyNumberFormat="0" applyAlignment="0" applyProtection="0"/>
    <xf numFmtId="0" fontId="105" fillId="72" borderId="151" applyNumberFormat="0" applyAlignment="0" applyProtection="0"/>
    <xf numFmtId="4" fontId="94" fillId="16" borderId="160">
      <alignment horizontal="right" vertical="center"/>
    </xf>
    <xf numFmtId="0" fontId="94" fillId="16" borderId="160">
      <alignment horizontal="right" vertical="center"/>
    </xf>
    <xf numFmtId="0" fontId="94" fillId="16" borderId="159">
      <alignment horizontal="right" vertical="center"/>
    </xf>
    <xf numFmtId="4" fontId="96" fillId="49" borderId="159">
      <alignment horizontal="right" vertical="center"/>
    </xf>
    <xf numFmtId="0" fontId="108" fillId="59" borderId="151" applyNumberFormat="0" applyAlignment="0" applyProtection="0"/>
    <xf numFmtId="0" fontId="109" fillId="0" borderId="153" applyNumberFormat="0" applyFill="0" applyAlignment="0" applyProtection="0"/>
    <xf numFmtId="0" fontId="124" fillId="0" borderId="153" applyNumberFormat="0" applyFill="0" applyAlignment="0" applyProtection="0"/>
    <xf numFmtId="0" fontId="99" fillId="75" borderId="158" applyNumberFormat="0" applyFont="0" applyAlignment="0" applyProtection="0"/>
    <xf numFmtId="0" fontId="117" fillId="59" borderId="151" applyNumberFormat="0" applyAlignment="0" applyProtection="0"/>
    <xf numFmtId="49" fontId="62" fillId="0" borderId="159" applyNumberFormat="0" applyFill="0" applyBorder="0" applyProtection="0">
      <alignment horizontal="left" vertical="center"/>
    </xf>
    <xf numFmtId="0" fontId="61" fillId="16" borderId="162">
      <alignment horizontal="left" vertical="center" wrapText="1" indent="2"/>
    </xf>
    <xf numFmtId="0" fontId="105" fillId="72" borderId="151" applyNumberFormat="0" applyAlignment="0" applyProtection="0"/>
    <xf numFmtId="0" fontId="61" fillId="0" borderId="162">
      <alignment horizontal="left" vertical="center" wrapText="1" indent="2"/>
    </xf>
    <xf numFmtId="0" fontId="99" fillId="75" borderId="158" applyNumberFormat="0" applyFont="0" applyAlignment="0" applyProtection="0"/>
    <xf numFmtId="0" fontId="39" fillId="75" borderId="158" applyNumberFormat="0" applyFont="0" applyAlignment="0" applyProtection="0"/>
    <xf numFmtId="0" fontId="121" fillId="72" borderId="150" applyNumberFormat="0" applyAlignment="0" applyProtection="0"/>
    <xf numFmtId="0" fontId="124" fillId="0" borderId="153" applyNumberFormat="0" applyFill="0" applyAlignment="0" applyProtection="0"/>
    <xf numFmtId="4" fontId="61" fillId="50" borderId="159"/>
    <xf numFmtId="0" fontId="94" fillId="16" borderId="159">
      <alignment horizontal="right" vertical="center"/>
    </xf>
    <xf numFmtId="0" fontId="124" fillId="0" borderId="153" applyNumberFormat="0" applyFill="0" applyAlignment="0" applyProtection="0"/>
    <xf numFmtId="4" fontId="94" fillId="16" borderId="161">
      <alignment horizontal="right" vertical="center"/>
    </xf>
    <xf numFmtId="0" fontId="104" fillId="72" borderId="151" applyNumberFormat="0" applyAlignment="0" applyProtection="0"/>
    <xf numFmtId="0" fontId="94" fillId="16" borderId="160">
      <alignment horizontal="right" vertical="center"/>
    </xf>
    <xf numFmtId="0" fontId="105" fillId="72" borderId="151" applyNumberFormat="0" applyAlignment="0" applyProtection="0"/>
    <xf numFmtId="0" fontId="109" fillId="0" borderId="153" applyNumberFormat="0" applyFill="0" applyAlignment="0" applyProtection="0"/>
    <xf numFmtId="0" fontId="99" fillId="75" borderId="158" applyNumberFormat="0" applyFont="0" applyAlignment="0" applyProtection="0"/>
    <xf numFmtId="4" fontId="94" fillId="16" borderId="160">
      <alignment horizontal="right" vertical="center"/>
    </xf>
    <xf numFmtId="0" fontId="61" fillId="16" borderId="162">
      <alignment horizontal="left" vertical="center" wrapText="1" indent="2"/>
    </xf>
    <xf numFmtId="0" fontId="61" fillId="50" borderId="159"/>
    <xf numFmtId="182" fontId="61" fillId="76" borderId="159" applyNumberFormat="0" applyFont="0" applyBorder="0" applyAlignment="0" applyProtection="0">
      <alignment horizontal="right" vertical="center"/>
    </xf>
    <xf numFmtId="0" fontId="61" fillId="0" borderId="159" applyNumberFormat="0" applyFill="0" applyAlignment="0" applyProtection="0"/>
    <xf numFmtId="4" fontId="61" fillId="0" borderId="159" applyFill="0" applyBorder="0" applyProtection="0">
      <alignment horizontal="right" vertical="center"/>
    </xf>
    <xf numFmtId="4" fontId="94" fillId="49" borderId="159">
      <alignment horizontal="right" vertical="center"/>
    </xf>
    <xf numFmtId="0" fontId="109" fillId="0" borderId="153" applyNumberFormat="0" applyFill="0" applyAlignment="0" applyProtection="0"/>
    <xf numFmtId="49" fontId="62" fillId="0" borderId="159" applyNumberFormat="0" applyFill="0" applyBorder="0" applyProtection="0">
      <alignment horizontal="left" vertical="center"/>
    </xf>
    <xf numFmtId="49" fontId="61" fillId="0" borderId="160" applyNumberFormat="0" applyFont="0" applyFill="0" applyBorder="0" applyProtection="0">
      <alignment horizontal="left" vertical="center" indent="5"/>
    </xf>
    <xf numFmtId="0" fontId="61" fillId="49" borderId="160">
      <alignment horizontal="left" vertical="center"/>
    </xf>
    <xf numFmtId="0" fontId="105" fillId="72" borderId="151" applyNumberFormat="0" applyAlignment="0" applyProtection="0"/>
    <xf numFmtId="4" fontId="94" fillId="16" borderId="161">
      <alignment horizontal="right" vertical="center"/>
    </xf>
    <xf numFmtId="0" fontId="117" fillId="59" borderId="151" applyNumberFormat="0" applyAlignment="0" applyProtection="0"/>
    <xf numFmtId="0" fontId="117" fillId="59" borderId="151" applyNumberFormat="0" applyAlignment="0" applyProtection="0"/>
    <xf numFmtId="0" fontId="99" fillId="75" borderId="158" applyNumberFormat="0" applyFont="0" applyAlignment="0" applyProtection="0"/>
    <xf numFmtId="0" fontId="121" fillId="72" borderId="150" applyNumberFormat="0" applyAlignment="0" applyProtection="0"/>
    <xf numFmtId="0" fontId="124" fillId="0" borderId="153" applyNumberFormat="0" applyFill="0" applyAlignment="0" applyProtection="0"/>
    <xf numFmtId="0" fontId="94" fillId="16" borderId="159">
      <alignment horizontal="right" vertical="center"/>
    </xf>
    <xf numFmtId="0" fontId="39" fillId="75" borderId="158" applyNumberFormat="0" applyFont="0" applyAlignment="0" applyProtection="0"/>
    <xf numFmtId="4" fontId="61" fillId="0" borderId="159">
      <alignment horizontal="right" vertical="center"/>
    </xf>
    <xf numFmtId="0" fontId="124" fillId="0" borderId="153" applyNumberFormat="0" applyFill="0" applyAlignment="0" applyProtection="0"/>
    <xf numFmtId="0" fontId="94" fillId="16" borderId="159">
      <alignment horizontal="right" vertical="center"/>
    </xf>
    <xf numFmtId="0" fontId="94" fillId="16" borderId="159">
      <alignment horizontal="right" vertical="center"/>
    </xf>
    <xf numFmtId="4" fontId="96" fillId="49" borderId="159">
      <alignment horizontal="right" vertical="center"/>
    </xf>
    <xf numFmtId="0" fontId="94" fillId="49" borderId="159">
      <alignment horizontal="right" vertical="center"/>
    </xf>
    <xf numFmtId="4" fontId="94" fillId="49" borderId="159">
      <alignment horizontal="right" vertical="center"/>
    </xf>
    <xf numFmtId="0" fontId="96" fillId="49" borderId="159">
      <alignment horizontal="right" vertical="center"/>
    </xf>
    <xf numFmtId="4" fontId="96" fillId="49" borderId="159">
      <alignment horizontal="right" vertical="center"/>
    </xf>
    <xf numFmtId="0" fontId="94" fillId="16" borderId="159">
      <alignment horizontal="right" vertical="center"/>
    </xf>
    <xf numFmtId="4" fontId="94" fillId="16" borderId="159">
      <alignment horizontal="right" vertical="center"/>
    </xf>
    <xf numFmtId="0" fontId="94" fillId="16" borderId="159">
      <alignment horizontal="right" vertical="center"/>
    </xf>
    <xf numFmtId="4" fontId="94" fillId="16" borderId="159">
      <alignment horizontal="right" vertical="center"/>
    </xf>
    <xf numFmtId="0" fontId="94" fillId="16" borderId="160">
      <alignment horizontal="right" vertical="center"/>
    </xf>
    <xf numFmtId="4" fontId="94" fillId="16" borderId="160">
      <alignment horizontal="right" vertical="center"/>
    </xf>
    <xf numFmtId="0" fontId="94" fillId="16" borderId="161">
      <alignment horizontal="right" vertical="center"/>
    </xf>
    <xf numFmtId="4" fontId="94" fillId="16" borderId="161">
      <alignment horizontal="right" vertical="center"/>
    </xf>
    <xf numFmtId="0" fontId="105" fillId="72" borderId="151" applyNumberFormat="0" applyAlignment="0" applyProtection="0"/>
    <xf numFmtId="0" fontId="61" fillId="16" borderId="162">
      <alignment horizontal="left" vertical="center" wrapText="1" indent="2"/>
    </xf>
    <xf numFmtId="0" fontId="61" fillId="0" borderId="162">
      <alignment horizontal="left" vertical="center" wrapText="1" indent="2"/>
    </xf>
    <xf numFmtId="0" fontId="61" fillId="49" borderId="160">
      <alignment horizontal="left" vertical="center"/>
    </xf>
    <xf numFmtId="0" fontId="117" fillId="59" borderId="151" applyNumberFormat="0" applyAlignment="0" applyProtection="0"/>
    <xf numFmtId="0" fontId="61" fillId="0" borderId="159">
      <alignment horizontal="right" vertical="center"/>
    </xf>
    <xf numFmtId="4" fontId="61" fillId="0" borderId="159">
      <alignment horizontal="right" vertical="center"/>
    </xf>
    <xf numFmtId="0" fontId="61" fillId="0" borderId="159" applyNumberFormat="0" applyFill="0" applyAlignment="0" applyProtection="0"/>
    <xf numFmtId="0" fontId="121" fillId="72" borderId="150" applyNumberFormat="0" applyAlignment="0" applyProtection="0"/>
    <xf numFmtId="182" fontId="61" fillId="76" borderId="159" applyNumberFormat="0" applyFont="0" applyBorder="0" applyAlignment="0" applyProtection="0">
      <alignment horizontal="right" vertical="center"/>
    </xf>
    <xf numFmtId="0" fontId="61" fillId="50" borderId="159"/>
    <xf numFmtId="4" fontId="61" fillId="50" borderId="159"/>
    <xf numFmtId="0" fontId="124" fillId="0" borderId="153" applyNumberFormat="0" applyFill="0" applyAlignment="0" applyProtection="0"/>
    <xf numFmtId="0" fontId="39" fillId="75" borderId="158" applyNumberFormat="0" applyFont="0" applyAlignment="0" applyProtection="0"/>
    <xf numFmtId="0" fontId="99" fillId="75" borderId="158" applyNumberFormat="0" applyFont="0" applyAlignment="0" applyProtection="0"/>
    <xf numFmtId="0" fontId="61" fillId="0" borderId="159" applyNumberFormat="0" applyFill="0" applyAlignment="0" applyProtection="0"/>
    <xf numFmtId="0" fontId="109" fillId="0" borderId="153" applyNumberFormat="0" applyFill="0" applyAlignment="0" applyProtection="0"/>
    <xf numFmtId="0" fontId="124" fillId="0" borderId="153" applyNumberFormat="0" applyFill="0" applyAlignment="0" applyProtection="0"/>
    <xf numFmtId="0" fontId="108" fillId="59" borderId="151" applyNumberFormat="0" applyAlignment="0" applyProtection="0"/>
    <xf numFmtId="0" fontId="105" fillId="72" borderId="151" applyNumberFormat="0" applyAlignment="0" applyProtection="0"/>
    <xf numFmtId="4" fontId="96" fillId="49" borderId="159">
      <alignment horizontal="right" vertical="center"/>
    </xf>
    <xf numFmtId="0" fontId="94" fillId="49" borderId="159">
      <alignment horizontal="right" vertical="center"/>
    </xf>
    <xf numFmtId="182" fontId="61" fillId="76" borderId="159" applyNumberFormat="0" applyFont="0" applyBorder="0" applyAlignment="0" applyProtection="0">
      <alignment horizontal="right" vertical="center"/>
    </xf>
    <xf numFmtId="0" fontId="109" fillId="0" borderId="153" applyNumberFormat="0" applyFill="0" applyAlignment="0" applyProtection="0"/>
    <xf numFmtId="49" fontId="61" fillId="0" borderId="159" applyNumberFormat="0" applyFont="0" applyFill="0" applyBorder="0" applyProtection="0">
      <alignment horizontal="left" vertical="center" indent="2"/>
    </xf>
    <xf numFmtId="49" fontId="61" fillId="0" borderId="160" applyNumberFormat="0" applyFont="0" applyFill="0" applyBorder="0" applyProtection="0">
      <alignment horizontal="left" vertical="center" indent="5"/>
    </xf>
    <xf numFmtId="49" fontId="61" fillId="0" borderId="159" applyNumberFormat="0" applyFont="0" applyFill="0" applyBorder="0" applyProtection="0">
      <alignment horizontal="left" vertical="center" indent="2"/>
    </xf>
    <xf numFmtId="4" fontId="61" fillId="0" borderId="159" applyFill="0" applyBorder="0" applyProtection="0">
      <alignment horizontal="right" vertical="center"/>
    </xf>
    <xf numFmtId="49" fontId="62" fillId="0" borderId="159" applyNumberFormat="0" applyFill="0" applyBorder="0" applyProtection="0">
      <alignment horizontal="left" vertical="center"/>
    </xf>
    <xf numFmtId="0" fontId="61" fillId="0" borderId="162">
      <alignment horizontal="left" vertical="center" wrapText="1" indent="2"/>
    </xf>
    <xf numFmtId="0" fontId="121" fillId="72" borderId="150" applyNumberFormat="0" applyAlignment="0" applyProtection="0"/>
    <xf numFmtId="0" fontId="94" fillId="16" borderId="161">
      <alignment horizontal="right" vertical="center"/>
    </xf>
    <xf numFmtId="0" fontId="108" fillId="59" borderId="151" applyNumberFormat="0" applyAlignment="0" applyProtection="0"/>
    <xf numFmtId="0" fontId="94" fillId="16" borderId="161">
      <alignment horizontal="right" vertical="center"/>
    </xf>
    <xf numFmtId="4" fontId="94" fillId="16" borderId="159">
      <alignment horizontal="right" vertical="center"/>
    </xf>
    <xf numFmtId="0" fontId="94" fillId="16" borderId="159">
      <alignment horizontal="right" vertical="center"/>
    </xf>
    <xf numFmtId="0" fontId="102" fillId="72" borderId="150" applyNumberFormat="0" applyAlignment="0" applyProtection="0"/>
    <xf numFmtId="0" fontId="104" fillId="72" borderId="151" applyNumberFormat="0" applyAlignment="0" applyProtection="0"/>
    <xf numFmtId="0" fontId="109" fillId="0" borderId="153" applyNumberFormat="0" applyFill="0" applyAlignment="0" applyProtection="0"/>
    <xf numFmtId="0" fontId="61" fillId="50" borderId="159"/>
    <xf numFmtId="4" fontId="61" fillId="50" borderId="159"/>
    <xf numFmtId="4" fontId="94" fillId="16" borderId="159">
      <alignment horizontal="right" vertical="center"/>
    </xf>
    <xf numFmtId="0" fontId="96" fillId="49" borderId="159">
      <alignment horizontal="right" vertical="center"/>
    </xf>
    <xf numFmtId="0" fontId="108" fillId="59" borderId="151" applyNumberFormat="0" applyAlignment="0" applyProtection="0"/>
    <xf numFmtId="0" fontId="105" fillId="72" borderId="151" applyNumberFormat="0" applyAlignment="0" applyProtection="0"/>
    <xf numFmtId="4" fontId="61" fillId="0" borderId="159">
      <alignment horizontal="right" vertical="center"/>
    </xf>
    <xf numFmtId="0" fontId="61" fillId="16" borderId="162">
      <alignment horizontal="left" vertical="center" wrapText="1" indent="2"/>
    </xf>
    <xf numFmtId="0" fontId="61" fillId="0" borderId="162">
      <alignment horizontal="left" vertical="center" wrapText="1" indent="2"/>
    </xf>
    <xf numFmtId="0" fontId="121" fillId="72" borderId="150" applyNumberFormat="0" applyAlignment="0" applyProtection="0"/>
    <xf numFmtId="0" fontId="117" fillId="59" borderId="151" applyNumberFormat="0" applyAlignment="0" applyProtection="0"/>
    <xf numFmtId="0" fontId="104" fillId="72" borderId="151" applyNumberFormat="0" applyAlignment="0" applyProtection="0"/>
    <xf numFmtId="0" fontId="102" fillId="72" borderId="150" applyNumberFormat="0" applyAlignment="0" applyProtection="0"/>
    <xf numFmtId="0" fontId="94" fillId="16" borderId="161">
      <alignment horizontal="right" vertical="center"/>
    </xf>
    <xf numFmtId="0" fontId="96" fillId="49" borderId="159">
      <alignment horizontal="right" vertical="center"/>
    </xf>
    <xf numFmtId="4" fontId="94" fillId="49" borderId="159">
      <alignment horizontal="right" vertical="center"/>
    </xf>
    <xf numFmtId="4" fontId="94" fillId="16" borderId="159">
      <alignment horizontal="right" vertical="center"/>
    </xf>
    <xf numFmtId="49" fontId="61" fillId="0" borderId="160" applyNumberFormat="0" applyFont="0" applyFill="0" applyBorder="0" applyProtection="0">
      <alignment horizontal="left" vertical="center" indent="5"/>
    </xf>
    <xf numFmtId="4" fontId="61" fillId="0" borderId="159" applyFill="0" applyBorder="0" applyProtection="0">
      <alignment horizontal="right" vertical="center"/>
    </xf>
    <xf numFmtId="4" fontId="94" fillId="49" borderId="159">
      <alignment horizontal="right" vertical="center"/>
    </xf>
    <xf numFmtId="0" fontId="117" fillId="59" borderId="151" applyNumberFormat="0" applyAlignment="0" applyProtection="0"/>
    <xf numFmtId="0" fontId="108" fillId="59" borderId="151" applyNumberFormat="0" applyAlignment="0" applyProtection="0"/>
    <xf numFmtId="0" fontId="104" fillId="72" borderId="151" applyNumberFormat="0" applyAlignment="0" applyProtection="0"/>
    <xf numFmtId="0" fontId="61" fillId="16" borderId="162">
      <alignment horizontal="left" vertical="center" wrapText="1" indent="2"/>
    </xf>
    <xf numFmtId="0" fontId="61" fillId="0" borderId="162">
      <alignment horizontal="left" vertical="center" wrapText="1" indent="2"/>
    </xf>
    <xf numFmtId="0" fontId="61" fillId="16" borderId="162">
      <alignment horizontal="left" vertical="center" wrapText="1" indent="2"/>
    </xf>
    <xf numFmtId="0" fontId="7" fillId="0" borderId="0"/>
    <xf numFmtId="0" fontId="99" fillId="75" borderId="166" applyNumberFormat="0" applyFont="0" applyAlignment="0" applyProtection="0"/>
    <xf numFmtId="0" fontId="61" fillId="16" borderId="170">
      <alignment horizontal="left" vertical="center" wrapText="1" indent="2"/>
    </xf>
    <xf numFmtId="0" fontId="61" fillId="50" borderId="167"/>
    <xf numFmtId="0" fontId="86" fillId="27" borderId="139" applyNumberFormat="0" applyAlignment="0" applyProtection="0"/>
    <xf numFmtId="0" fontId="104" fillId="72" borderId="164" applyNumberFormat="0" applyAlignment="0" applyProtection="0"/>
    <xf numFmtId="0" fontId="102" fillId="72" borderId="163" applyNumberFormat="0" applyAlignment="0" applyProtection="0"/>
    <xf numFmtId="0" fontId="39" fillId="75" borderId="166" applyNumberFormat="0" applyFont="0" applyAlignment="0" applyProtection="0"/>
    <xf numFmtId="4" fontId="61" fillId="0" borderId="167">
      <alignment horizontal="right" vertical="center"/>
    </xf>
    <xf numFmtId="0" fontId="124" fillId="0" borderId="165" applyNumberFormat="0" applyFill="0" applyAlignment="0" applyProtection="0"/>
    <xf numFmtId="0" fontId="61" fillId="16" borderId="170">
      <alignment horizontal="left" vertical="center" wrapText="1" indent="2"/>
    </xf>
    <xf numFmtId="0" fontId="117" fillId="59" borderId="164" applyNumberFormat="0" applyAlignment="0" applyProtection="0"/>
    <xf numFmtId="0" fontId="7" fillId="28" borderId="0" applyNumberFormat="0" applyBorder="0" applyAlignment="0" applyProtection="0"/>
    <xf numFmtId="0" fontId="94" fillId="16" borderId="167">
      <alignment horizontal="right" vertical="center"/>
    </xf>
    <xf numFmtId="0" fontId="124" fillId="0" borderId="165" applyNumberFormat="0" applyFill="0" applyAlignment="0" applyProtection="0"/>
    <xf numFmtId="0" fontId="108" fillId="59" borderId="164" applyNumberFormat="0" applyAlignment="0" applyProtection="0"/>
    <xf numFmtId="4" fontId="61" fillId="0" borderId="167" applyFill="0" applyBorder="0" applyProtection="0">
      <alignment horizontal="right" vertical="center"/>
    </xf>
    <xf numFmtId="0" fontId="105" fillId="72" borderId="164" applyNumberFormat="0" applyAlignment="0" applyProtection="0"/>
    <xf numFmtId="0" fontId="117" fillId="59" borderId="164" applyNumberFormat="0" applyAlignment="0" applyProtection="0"/>
    <xf numFmtId="0" fontId="61" fillId="0" borderId="170">
      <alignment horizontal="left" vertical="center" wrapText="1" indent="2"/>
    </xf>
    <xf numFmtId="4" fontId="94" fillId="49" borderId="167">
      <alignment horizontal="right" vertical="center"/>
    </xf>
    <xf numFmtId="0" fontId="117" fillId="59" borderId="164" applyNumberFormat="0" applyAlignment="0" applyProtection="0"/>
    <xf numFmtId="0" fontId="61" fillId="50" borderId="167"/>
    <xf numFmtId="0" fontId="61" fillId="0" borderId="170">
      <alignment horizontal="left" vertical="center" wrapText="1" indent="2"/>
    </xf>
    <xf numFmtId="49" fontId="61" fillId="0" borderId="168" applyNumberFormat="0" applyFont="0" applyFill="0" applyBorder="0" applyProtection="0">
      <alignment horizontal="left" vertical="center" indent="5"/>
    </xf>
    <xf numFmtId="0" fontId="99" fillId="75" borderId="166" applyNumberFormat="0" applyFont="0" applyAlignment="0" applyProtection="0"/>
    <xf numFmtId="0" fontId="96" fillId="49" borderId="167">
      <alignment horizontal="right" vertical="center"/>
    </xf>
    <xf numFmtId="4" fontId="94" fillId="16" borderId="169">
      <alignment horizontal="right" vertical="center"/>
    </xf>
    <xf numFmtId="0" fontId="117" fillId="59" borderId="164" applyNumberFormat="0" applyAlignment="0" applyProtection="0"/>
    <xf numFmtId="49" fontId="61" fillId="0" borderId="167" applyNumberFormat="0" applyFont="0" applyFill="0" applyBorder="0" applyProtection="0">
      <alignment horizontal="left" vertical="center" indent="2"/>
    </xf>
    <xf numFmtId="0" fontId="61" fillId="0" borderId="170">
      <alignment horizontal="left" vertical="center" wrapText="1" indent="2"/>
    </xf>
    <xf numFmtId="4" fontId="61" fillId="0" borderId="167">
      <alignment horizontal="right" vertical="center"/>
    </xf>
    <xf numFmtId="4" fontId="94" fillId="49" borderId="167">
      <alignment horizontal="right" vertical="center"/>
    </xf>
    <xf numFmtId="4" fontId="61" fillId="0" borderId="167">
      <alignment horizontal="right" vertical="center"/>
    </xf>
    <xf numFmtId="0" fontId="39" fillId="75" borderId="166" applyNumberFormat="0" applyFont="0" applyAlignment="0" applyProtection="0"/>
    <xf numFmtId="0" fontId="94" fillId="16" borderId="167">
      <alignment horizontal="right" vertical="center"/>
    </xf>
    <xf numFmtId="0" fontId="105" fillId="72" borderId="164" applyNumberFormat="0" applyAlignment="0" applyProtection="0"/>
    <xf numFmtId="0" fontId="121" fillId="72" borderId="163" applyNumberFormat="0" applyAlignment="0" applyProtection="0"/>
    <xf numFmtId="0" fontId="109" fillId="0" borderId="165" applyNumberFormat="0" applyFill="0" applyAlignment="0" applyProtection="0"/>
    <xf numFmtId="0" fontId="94" fillId="16" borderId="167">
      <alignment horizontal="right" vertical="center"/>
    </xf>
    <xf numFmtId="0" fontId="117" fillId="59" borderId="179" applyNumberFormat="0" applyAlignment="0" applyProtection="0"/>
    <xf numFmtId="0" fontId="117" fillId="59" borderId="164" applyNumberFormat="0" applyAlignment="0" applyProtection="0"/>
    <xf numFmtId="0" fontId="89" fillId="39" borderId="0" applyNumberFormat="0" applyBorder="0" applyAlignment="0" applyProtection="0"/>
    <xf numFmtId="0" fontId="96" fillId="49" borderId="175">
      <alignment horizontal="right" vertical="center"/>
    </xf>
    <xf numFmtId="4" fontId="94" fillId="16" borderId="182">
      <alignment horizontal="right" vertical="center"/>
    </xf>
    <xf numFmtId="0" fontId="61" fillId="0" borderId="170">
      <alignment horizontal="left" vertical="center" wrapText="1" indent="2"/>
    </xf>
    <xf numFmtId="0" fontId="109" fillId="0" borderId="165" applyNumberFormat="0" applyFill="0" applyAlignment="0" applyProtection="0"/>
    <xf numFmtId="0" fontId="85" fillId="27" borderId="140" applyNumberFormat="0" applyAlignment="0" applyProtection="0"/>
    <xf numFmtId="0" fontId="86" fillId="27" borderId="139" applyNumberFormat="0" applyAlignment="0" applyProtection="0"/>
    <xf numFmtId="0" fontId="61" fillId="49" borderId="168">
      <alignment horizontal="left" vertical="center"/>
    </xf>
    <xf numFmtId="0" fontId="87" fillId="0" borderId="0" applyNumberFormat="0" applyFill="0" applyBorder="0" applyAlignment="0" applyProtection="0"/>
    <xf numFmtId="4" fontId="94" fillId="16" borderId="169">
      <alignment horizontal="right" vertical="center"/>
    </xf>
    <xf numFmtId="0" fontId="88" fillId="0" borderId="0" applyNumberFormat="0" applyFill="0" applyBorder="0" applyAlignment="0" applyProtection="0"/>
    <xf numFmtId="0" fontId="30" fillId="0" borderId="141" applyNumberFormat="0" applyFill="0" applyAlignment="0" applyProtection="0"/>
    <xf numFmtId="0" fontId="99" fillId="75" borderId="174" applyNumberFormat="0" applyFont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89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89" fillId="33" borderId="0" applyNumberFormat="0" applyBorder="0" applyAlignment="0" applyProtection="0"/>
    <xf numFmtId="0" fontId="7" fillId="40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9" fillId="36" borderId="0" applyNumberFormat="0" applyBorder="0" applyAlignment="0" applyProtection="0"/>
    <xf numFmtId="0" fontId="99" fillId="75" borderId="181" applyNumberFormat="0" applyFont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89" fillId="39" borderId="0" applyNumberFormat="0" applyBorder="0" applyAlignment="0" applyProtection="0"/>
    <xf numFmtId="0" fontId="39" fillId="75" borderId="174" applyNumberFormat="0" applyFont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4" borderId="0" applyNumberFormat="0" applyBorder="0" applyAlignment="0" applyProtection="0"/>
    <xf numFmtId="0" fontId="89" fillId="45" borderId="0" applyNumberFormat="0" applyBorder="0" applyAlignment="0" applyProtection="0"/>
    <xf numFmtId="0" fontId="99" fillId="75" borderId="166" applyNumberFormat="0" applyFont="0" applyAlignment="0" applyProtection="0"/>
    <xf numFmtId="0" fontId="105" fillId="72" borderId="179" applyNumberFormat="0" applyAlignment="0" applyProtection="0"/>
    <xf numFmtId="49" fontId="62" fillId="0" borderId="175" applyNumberFormat="0" applyFill="0" applyBorder="0" applyProtection="0">
      <alignment horizontal="left" vertical="center"/>
    </xf>
    <xf numFmtId="0" fontId="124" fillId="0" borderId="165" applyNumberFormat="0" applyFill="0" applyAlignment="0" applyProtection="0"/>
    <xf numFmtId="0" fontId="121" fillId="72" borderId="163" applyNumberFormat="0" applyAlignment="0" applyProtection="0"/>
    <xf numFmtId="0" fontId="105" fillId="72" borderId="172" applyNumberFormat="0" applyAlignment="0" applyProtection="0"/>
    <xf numFmtId="0" fontId="117" fillId="59" borderId="164" applyNumberFormat="0" applyAlignment="0" applyProtection="0"/>
    <xf numFmtId="4" fontId="61" fillId="0" borderId="167">
      <alignment horizontal="right" vertical="center"/>
    </xf>
    <xf numFmtId="0" fontId="88" fillId="0" borderId="0" applyNumberFormat="0" applyFill="0" applyBorder="0" applyAlignment="0" applyProtection="0"/>
    <xf numFmtId="0" fontId="124" fillId="0" borderId="165" applyNumberFormat="0" applyFill="0" applyAlignment="0" applyProtection="0"/>
    <xf numFmtId="182" fontId="61" fillId="76" borderId="167" applyNumberFormat="0" applyFont="0" applyBorder="0" applyAlignment="0" applyProtection="0">
      <alignment horizontal="right" vertical="center"/>
    </xf>
    <xf numFmtId="0" fontId="39" fillId="75" borderId="166" applyNumberFormat="0" applyFont="0" applyAlignment="0" applyProtection="0"/>
    <xf numFmtId="0" fontId="7" fillId="32" borderId="0" applyNumberFormat="0" applyBorder="0" applyAlignment="0" applyProtection="0"/>
    <xf numFmtId="0" fontId="61" fillId="0" borderId="170">
      <alignment horizontal="left" vertical="center" wrapText="1" indent="2"/>
    </xf>
    <xf numFmtId="0" fontId="7" fillId="37" borderId="0" applyNumberFormat="0" applyBorder="0" applyAlignment="0" applyProtection="0"/>
    <xf numFmtId="49" fontId="62" fillId="0" borderId="167" applyNumberFormat="0" applyFill="0" applyBorder="0" applyProtection="0">
      <alignment horizontal="left" vertical="center"/>
    </xf>
    <xf numFmtId="0" fontId="124" fillId="0" borderId="165" applyNumberFormat="0" applyFill="0" applyAlignment="0" applyProtection="0"/>
    <xf numFmtId="0" fontId="104" fillId="72" borderId="164" applyNumberFormat="0" applyAlignment="0" applyProtection="0"/>
    <xf numFmtId="0" fontId="99" fillId="75" borderId="181" applyNumberFormat="0" applyFont="0" applyAlignment="0" applyProtection="0"/>
    <xf numFmtId="0" fontId="89" fillId="45" borderId="0" applyNumberFormat="0" applyBorder="0" applyAlignment="0" applyProtection="0"/>
    <xf numFmtId="0" fontId="61" fillId="0" borderId="167" applyNumberFormat="0" applyFill="0" applyAlignment="0" applyProtection="0"/>
    <xf numFmtId="4" fontId="61" fillId="0" borderId="167" applyFill="0" applyBorder="0" applyProtection="0">
      <alignment horizontal="right" vertical="center"/>
    </xf>
    <xf numFmtId="49" fontId="61" fillId="0" borderId="167" applyNumberFormat="0" applyFont="0" applyFill="0" applyBorder="0" applyProtection="0">
      <alignment horizontal="left" vertical="center" indent="2"/>
    </xf>
    <xf numFmtId="49" fontId="62" fillId="0" borderId="167" applyNumberFormat="0" applyFill="0" applyBorder="0" applyProtection="0">
      <alignment horizontal="left" vertical="center"/>
    </xf>
    <xf numFmtId="0" fontId="61" fillId="0" borderId="182">
      <alignment horizontal="right" vertical="center"/>
    </xf>
    <xf numFmtId="0" fontId="121" fillId="72" borderId="163" applyNumberFormat="0" applyAlignment="0" applyProtection="0"/>
    <xf numFmtId="4" fontId="94" fillId="16" borderId="167">
      <alignment horizontal="right" vertical="center"/>
    </xf>
    <xf numFmtId="0" fontId="7" fillId="29" borderId="0" applyNumberFormat="0" applyBorder="0" applyAlignment="0" applyProtection="0"/>
    <xf numFmtId="4" fontId="96" fillId="49" borderId="167">
      <alignment horizontal="right" vertical="center"/>
    </xf>
    <xf numFmtId="4" fontId="94" fillId="49" borderId="167">
      <alignment horizontal="right" vertical="center"/>
    </xf>
    <xf numFmtId="0" fontId="89" fillId="30" borderId="0" applyNumberFormat="0" applyBorder="0" applyAlignment="0" applyProtection="0"/>
    <xf numFmtId="0" fontId="94" fillId="16" borderId="167">
      <alignment horizontal="right" vertical="center"/>
    </xf>
    <xf numFmtId="0" fontId="61" fillId="50" borderId="167"/>
    <xf numFmtId="4" fontId="94" fillId="16" borderId="167">
      <alignment horizontal="right" vertical="center"/>
    </xf>
    <xf numFmtId="0" fontId="117" fillId="59" borderId="164" applyNumberFormat="0" applyAlignment="0" applyProtection="0"/>
    <xf numFmtId="0" fontId="121" fillId="72" borderId="163" applyNumberFormat="0" applyAlignment="0" applyProtection="0"/>
    <xf numFmtId="0" fontId="109" fillId="0" borderId="165" applyNumberFormat="0" applyFill="0" applyAlignment="0" applyProtection="0"/>
    <xf numFmtId="0" fontId="85" fillId="27" borderId="140" applyNumberFormat="0" applyAlignment="0" applyProtection="0"/>
    <xf numFmtId="0" fontId="94" fillId="49" borderId="167">
      <alignment horizontal="right" vertical="center"/>
    </xf>
    <xf numFmtId="0" fontId="108" fillId="59" borderId="164" applyNumberFormat="0" applyAlignment="0" applyProtection="0"/>
    <xf numFmtId="0" fontId="124" fillId="0" borderId="165" applyNumberFormat="0" applyFill="0" applyAlignment="0" applyProtection="0"/>
    <xf numFmtId="4" fontId="94" fillId="16" borderId="169">
      <alignment horizontal="right" vertical="center"/>
    </xf>
    <xf numFmtId="0" fontId="94" fillId="16" borderId="168">
      <alignment horizontal="right" vertical="center"/>
    </xf>
    <xf numFmtId="4" fontId="96" fillId="49" borderId="167">
      <alignment horizontal="right" vertical="center"/>
    </xf>
    <xf numFmtId="4" fontId="94" fillId="16" borderId="168">
      <alignment horizontal="right" vertical="center"/>
    </xf>
    <xf numFmtId="0" fontId="121" fillId="72" borderId="163" applyNumberFormat="0" applyAlignment="0" applyProtection="0"/>
    <xf numFmtId="4" fontId="61" fillId="50" borderId="167"/>
    <xf numFmtId="49" fontId="61" fillId="0" borderId="167" applyNumberFormat="0" applyFont="0" applyFill="0" applyBorder="0" applyProtection="0">
      <alignment horizontal="left" vertical="center" indent="2"/>
    </xf>
    <xf numFmtId="0" fontId="117" fillId="59" borderId="164" applyNumberFormat="0" applyAlignment="0" applyProtection="0"/>
    <xf numFmtId="4" fontId="94" fillId="16" borderId="168">
      <alignment horizontal="right" vertical="center"/>
    </xf>
    <xf numFmtId="0" fontId="39" fillId="75" borderId="181" applyNumberFormat="0" applyFont="0" applyAlignment="0" applyProtection="0"/>
    <xf numFmtId="0" fontId="94" fillId="16" borderId="168">
      <alignment horizontal="right" vertical="center"/>
    </xf>
    <xf numFmtId="4" fontId="61" fillId="50" borderId="167"/>
    <xf numFmtId="0" fontId="61" fillId="49" borderId="168">
      <alignment horizontal="left" vertical="center"/>
    </xf>
    <xf numFmtId="0" fontId="108" fillId="59" borderId="179" applyNumberFormat="0" applyAlignment="0" applyProtection="0"/>
    <xf numFmtId="4" fontId="94" fillId="16" borderId="168">
      <alignment horizontal="right" vertical="center"/>
    </xf>
    <xf numFmtId="0" fontId="117" fillId="59" borderId="172" applyNumberFormat="0" applyAlignment="0" applyProtection="0"/>
    <xf numFmtId="0" fontId="94" fillId="16" borderId="169">
      <alignment horizontal="right" vertical="center"/>
    </xf>
    <xf numFmtId="0" fontId="96" fillId="49" borderId="167">
      <alignment horizontal="right" vertical="center"/>
    </xf>
    <xf numFmtId="4" fontId="94" fillId="49" borderId="182">
      <alignment horizontal="right" vertical="center"/>
    </xf>
    <xf numFmtId="0" fontId="94" fillId="49" borderId="167">
      <alignment horizontal="right" vertical="center"/>
    </xf>
    <xf numFmtId="0" fontId="117" fillId="59" borderId="164" applyNumberFormat="0" applyAlignment="0" applyProtection="0"/>
    <xf numFmtId="0" fontId="102" fillId="72" borderId="163" applyNumberFormat="0" applyAlignment="0" applyProtection="0"/>
    <xf numFmtId="0" fontId="61" fillId="0" borderId="167">
      <alignment horizontal="right" vertical="center"/>
    </xf>
    <xf numFmtId="0" fontId="104" fillId="72" borderId="164" applyNumberFormat="0" applyAlignment="0" applyProtection="0"/>
    <xf numFmtId="0" fontId="105" fillId="72" borderId="164" applyNumberFormat="0" applyAlignment="0" applyProtection="0"/>
    <xf numFmtId="4" fontId="96" fillId="49" borderId="167">
      <alignment horizontal="right" vertical="center"/>
    </xf>
    <xf numFmtId="0" fontId="7" fillId="43" borderId="0" applyNumberFormat="0" applyBorder="0" applyAlignment="0" applyProtection="0"/>
    <xf numFmtId="0" fontId="7" fillId="34" borderId="0" applyNumberFormat="0" applyBorder="0" applyAlignment="0" applyProtection="0"/>
    <xf numFmtId="0" fontId="85" fillId="27" borderId="140" applyNumberFormat="0" applyAlignment="0" applyProtection="0"/>
    <xf numFmtId="4" fontId="94" fillId="16" borderId="167">
      <alignment horizontal="right" vertical="center"/>
    </xf>
    <xf numFmtId="49" fontId="61" fillId="0" borderId="167" applyNumberFormat="0" applyFont="0" applyFill="0" applyBorder="0" applyProtection="0">
      <alignment horizontal="left" vertical="center" indent="2"/>
    </xf>
    <xf numFmtId="0" fontId="104" fillId="72" borderId="164" applyNumberFormat="0" applyAlignment="0" applyProtection="0"/>
    <xf numFmtId="0" fontId="124" fillId="0" borderId="165" applyNumberFormat="0" applyFill="0" applyAlignment="0" applyProtection="0"/>
    <xf numFmtId="0" fontId="102" fillId="72" borderId="163" applyNumberFormat="0" applyAlignment="0" applyProtection="0"/>
    <xf numFmtId="0" fontId="102" fillId="72" borderId="171" applyNumberFormat="0" applyAlignment="0" applyProtection="0"/>
    <xf numFmtId="0" fontId="7" fillId="43" borderId="0" applyNumberFormat="0" applyBorder="0" applyAlignment="0" applyProtection="0"/>
    <xf numFmtId="0" fontId="105" fillId="72" borderId="164" applyNumberFormat="0" applyAlignment="0" applyProtection="0"/>
    <xf numFmtId="49" fontId="61" fillId="0" borderId="183" applyNumberFormat="0" applyFont="0" applyFill="0" applyBorder="0" applyProtection="0">
      <alignment horizontal="left" vertical="center" indent="5"/>
    </xf>
    <xf numFmtId="4" fontId="61" fillId="0" borderId="167" applyFill="0" applyBorder="0" applyProtection="0">
      <alignment horizontal="right" vertical="center"/>
    </xf>
    <xf numFmtId="4" fontId="61" fillId="0" borderId="175" applyFill="0" applyBorder="0" applyProtection="0">
      <alignment horizontal="right" vertical="center"/>
    </xf>
    <xf numFmtId="49" fontId="62" fillId="0" borderId="182" applyNumberFormat="0" applyFill="0" applyBorder="0" applyProtection="0">
      <alignment horizontal="left" vertical="center"/>
    </xf>
    <xf numFmtId="0" fontId="109" fillId="0" borderId="165" applyNumberFormat="0" applyFill="0" applyAlignment="0" applyProtection="0"/>
    <xf numFmtId="49" fontId="61" fillId="0" borderId="167" applyNumberFormat="0" applyFont="0" applyFill="0" applyBorder="0" applyProtection="0">
      <alignment horizontal="left" vertical="center" indent="2"/>
    </xf>
    <xf numFmtId="182" fontId="61" fillId="76" borderId="167" applyNumberFormat="0" applyFont="0" applyBorder="0" applyAlignment="0" applyProtection="0">
      <alignment horizontal="right" vertical="center"/>
    </xf>
    <xf numFmtId="4" fontId="96" fillId="49" borderId="167">
      <alignment horizontal="right" vertical="center"/>
    </xf>
    <xf numFmtId="0" fontId="94" fillId="49" borderId="167">
      <alignment horizontal="right" vertical="center"/>
    </xf>
    <xf numFmtId="0" fontId="89" fillId="45" borderId="0" applyNumberFormat="0" applyBorder="0" applyAlignment="0" applyProtection="0"/>
    <xf numFmtId="0" fontId="124" fillId="0" borderId="180" applyNumberFormat="0" applyFill="0" applyAlignment="0" applyProtection="0"/>
    <xf numFmtId="49" fontId="61" fillId="0" borderId="167" applyNumberFormat="0" applyFont="0" applyFill="0" applyBorder="0" applyProtection="0">
      <alignment horizontal="left" vertical="center" indent="2"/>
    </xf>
    <xf numFmtId="4" fontId="61" fillId="0" borderId="175">
      <alignment horizontal="right" vertical="center"/>
    </xf>
    <xf numFmtId="0" fontId="104" fillId="72" borderId="172" applyNumberFormat="0" applyAlignment="0" applyProtection="0"/>
    <xf numFmtId="0" fontId="94" fillId="16" borderId="167">
      <alignment horizontal="right" vertical="center"/>
    </xf>
    <xf numFmtId="0" fontId="61" fillId="0" borderId="170">
      <alignment horizontal="left" vertical="center" wrapText="1" indent="2"/>
    </xf>
    <xf numFmtId="0" fontId="124" fillId="0" borderId="165" applyNumberFormat="0" applyFill="0" applyAlignment="0" applyProtection="0"/>
    <xf numFmtId="0" fontId="89" fillId="36" borderId="0" applyNumberFormat="0" applyBorder="0" applyAlignment="0" applyProtection="0"/>
    <xf numFmtId="0" fontId="61" fillId="16" borderId="170">
      <alignment horizontal="left" vertical="center" wrapText="1" indent="2"/>
    </xf>
    <xf numFmtId="4" fontId="94" fillId="16" borderId="167">
      <alignment horizontal="right" vertical="center"/>
    </xf>
    <xf numFmtId="0" fontId="89" fillId="36" borderId="0" applyNumberFormat="0" applyBorder="0" applyAlignment="0" applyProtection="0"/>
    <xf numFmtId="0" fontId="105" fillId="72" borderId="164" applyNumberFormat="0" applyAlignment="0" applyProtection="0"/>
    <xf numFmtId="0" fontId="124" fillId="0" borderId="165" applyNumberFormat="0" applyFill="0" applyAlignment="0" applyProtection="0"/>
    <xf numFmtId="0" fontId="109" fillId="0" borderId="165" applyNumberFormat="0" applyFill="0" applyAlignment="0" applyProtection="0"/>
    <xf numFmtId="4" fontId="94" fillId="16" borderId="167">
      <alignment horizontal="right" vertical="center"/>
    </xf>
    <xf numFmtId="4" fontId="94" fillId="16" borderId="169">
      <alignment horizontal="right" vertical="center"/>
    </xf>
    <xf numFmtId="0" fontId="108" fillId="59" borderId="164" applyNumberFormat="0" applyAlignment="0" applyProtection="0"/>
    <xf numFmtId="0" fontId="94" fillId="16" borderId="184">
      <alignment horizontal="right" vertical="center"/>
    </xf>
    <xf numFmtId="4" fontId="94" fillId="16" borderId="167">
      <alignment horizontal="right" vertical="center"/>
    </xf>
    <xf numFmtId="0" fontId="121" fillId="72" borderId="163" applyNumberFormat="0" applyAlignment="0" applyProtection="0"/>
    <xf numFmtId="49" fontId="61" fillId="0" borderId="167" applyNumberFormat="0" applyFont="0" applyFill="0" applyBorder="0" applyProtection="0">
      <alignment horizontal="left" vertical="center" indent="2"/>
    </xf>
    <xf numFmtId="0" fontId="89" fillId="39" borderId="0" applyNumberFormat="0" applyBorder="0" applyAlignment="0" applyProtection="0"/>
    <xf numFmtId="0" fontId="61" fillId="50" borderId="167"/>
    <xf numFmtId="0" fontId="86" fillId="27" borderId="139" applyNumberFormat="0" applyAlignment="0" applyProtection="0"/>
    <xf numFmtId="0" fontId="39" fillId="75" borderId="166" applyNumberFormat="0" applyFont="0" applyAlignment="0" applyProtection="0"/>
    <xf numFmtId="0" fontId="61" fillId="16" borderId="170">
      <alignment horizontal="left" vertical="center" wrapText="1" indent="2"/>
    </xf>
    <xf numFmtId="0" fontId="96" fillId="49" borderId="167">
      <alignment horizontal="right" vertical="center"/>
    </xf>
    <xf numFmtId="0" fontId="61" fillId="49" borderId="168">
      <alignment horizontal="left" vertical="center"/>
    </xf>
    <xf numFmtId="4" fontId="61" fillId="0" borderId="167" applyFill="0" applyBorder="0" applyProtection="0">
      <alignment horizontal="right" vertical="center"/>
    </xf>
    <xf numFmtId="0" fontId="61" fillId="49" borderId="183">
      <alignment horizontal="left" vertical="center"/>
    </xf>
    <xf numFmtId="0" fontId="124" fillId="0" borderId="165" applyNumberFormat="0" applyFill="0" applyAlignment="0" applyProtection="0"/>
    <xf numFmtId="0" fontId="109" fillId="0" borderId="165" applyNumberFormat="0" applyFill="0" applyAlignment="0" applyProtection="0"/>
    <xf numFmtId="0" fontId="94" fillId="16" borderId="168">
      <alignment horizontal="right" vertical="center"/>
    </xf>
    <xf numFmtId="0" fontId="124" fillId="0" borderId="165" applyNumberFormat="0" applyFill="0" applyAlignment="0" applyProtection="0"/>
    <xf numFmtId="0" fontId="117" fillId="59" borderId="164" applyNumberFormat="0" applyAlignment="0" applyProtection="0"/>
    <xf numFmtId="0" fontId="39" fillId="75" borderId="166" applyNumberFormat="0" applyFont="0" applyAlignment="0" applyProtection="0"/>
    <xf numFmtId="4" fontId="94" fillId="16" borderId="167">
      <alignment horizontal="right" vertical="center"/>
    </xf>
    <xf numFmtId="0" fontId="61" fillId="0" borderId="167">
      <alignment horizontal="right" vertical="center"/>
    </xf>
    <xf numFmtId="0" fontId="89" fillId="42" borderId="0" applyNumberFormat="0" applyBorder="0" applyAlignment="0" applyProtection="0"/>
    <xf numFmtId="0" fontId="61" fillId="16" borderId="170">
      <alignment horizontal="left" vertical="center" wrapText="1" indent="2"/>
    </xf>
    <xf numFmtId="0" fontId="109" fillId="0" borderId="165" applyNumberFormat="0" applyFill="0" applyAlignment="0" applyProtection="0"/>
    <xf numFmtId="4" fontId="94" fillId="16" borderId="167">
      <alignment horizontal="right" vertical="center"/>
    </xf>
    <xf numFmtId="0" fontId="99" fillId="75" borderId="166" applyNumberFormat="0" applyFont="0" applyAlignment="0" applyProtection="0"/>
    <xf numFmtId="49" fontId="62" fillId="0" borderId="167" applyNumberFormat="0" applyFill="0" applyBorder="0" applyProtection="0">
      <alignment horizontal="left" vertical="center"/>
    </xf>
    <xf numFmtId="4" fontId="94" fillId="49" borderId="167">
      <alignment horizontal="right" vertical="center"/>
    </xf>
    <xf numFmtId="0" fontId="121" fillId="72" borderId="163" applyNumberFormat="0" applyAlignment="0" applyProtection="0"/>
    <xf numFmtId="0" fontId="94" fillId="16" borderId="167">
      <alignment horizontal="right" vertical="center"/>
    </xf>
    <xf numFmtId="0" fontId="87" fillId="0" borderId="0" applyNumberFormat="0" applyFill="0" applyBorder="0" applyAlignment="0" applyProtection="0"/>
    <xf numFmtId="0" fontId="117" fillId="59" borderId="164" applyNumberFormat="0" applyAlignment="0" applyProtection="0"/>
    <xf numFmtId="0" fontId="99" fillId="75" borderId="166" applyNumberFormat="0" applyFont="0" applyAlignment="0" applyProtection="0"/>
    <xf numFmtId="0" fontId="99" fillId="75" borderId="166" applyNumberFormat="0" applyFont="0" applyAlignment="0" applyProtection="0"/>
    <xf numFmtId="0" fontId="96" fillId="49" borderId="182">
      <alignment horizontal="right" vertical="center"/>
    </xf>
    <xf numFmtId="4" fontId="94" fillId="16" borderId="169">
      <alignment horizontal="right" vertical="center"/>
    </xf>
    <xf numFmtId="0" fontId="88" fillId="0" borderId="0" applyNumberFormat="0" applyFill="0" applyBorder="0" applyAlignment="0" applyProtection="0"/>
    <xf numFmtId="0" fontId="94" fillId="16" borderId="169">
      <alignment horizontal="right" vertical="center"/>
    </xf>
    <xf numFmtId="4" fontId="61" fillId="0" borderId="182" applyFill="0" applyBorder="0" applyProtection="0">
      <alignment horizontal="right" vertical="center"/>
    </xf>
    <xf numFmtId="49" fontId="61" fillId="0" borderId="168" applyNumberFormat="0" applyFont="0" applyFill="0" applyBorder="0" applyProtection="0">
      <alignment horizontal="left" vertical="center" indent="5"/>
    </xf>
    <xf numFmtId="0" fontId="109" fillId="0" borderId="165" applyNumberFormat="0" applyFill="0" applyAlignment="0" applyProtection="0"/>
    <xf numFmtId="0" fontId="105" fillId="72" borderId="179" applyNumberFormat="0" applyAlignment="0" applyProtection="0"/>
    <xf numFmtId="0" fontId="105" fillId="72" borderId="164" applyNumberFormat="0" applyAlignment="0" applyProtection="0"/>
    <xf numFmtId="182" fontId="61" fillId="76" borderId="167" applyNumberFormat="0" applyFont="0" applyBorder="0" applyAlignment="0" applyProtection="0">
      <alignment horizontal="right" vertical="center"/>
    </xf>
    <xf numFmtId="0" fontId="108" fillId="59" borderId="172" applyNumberFormat="0" applyAlignment="0" applyProtection="0"/>
    <xf numFmtId="0" fontId="124" fillId="0" borderId="165" applyNumberFormat="0" applyFill="0" applyAlignment="0" applyProtection="0"/>
    <xf numFmtId="0" fontId="61" fillId="0" borderId="167" applyNumberFormat="0" applyFill="0" applyAlignment="0" applyProtection="0"/>
    <xf numFmtId="0" fontId="124" fillId="0" borderId="165" applyNumberFormat="0" applyFill="0" applyAlignment="0" applyProtection="0"/>
    <xf numFmtId="0" fontId="124" fillId="0" borderId="180" applyNumberFormat="0" applyFill="0" applyAlignment="0" applyProtection="0"/>
    <xf numFmtId="0" fontId="61" fillId="0" borderId="170">
      <alignment horizontal="left" vertical="center" wrapText="1" indent="2"/>
    </xf>
    <xf numFmtId="0" fontId="108" fillId="59" borderId="164" applyNumberFormat="0" applyAlignment="0" applyProtection="0"/>
    <xf numFmtId="0" fontId="99" fillId="75" borderId="166" applyNumberFormat="0" applyFont="0" applyAlignment="0" applyProtection="0"/>
    <xf numFmtId="49" fontId="62" fillId="0" borderId="167" applyNumberFormat="0" applyFill="0" applyBorder="0" applyProtection="0">
      <alignment horizontal="left" vertical="center"/>
    </xf>
    <xf numFmtId="4" fontId="61" fillId="50" borderId="167"/>
    <xf numFmtId="0" fontId="99" fillId="75" borderId="166" applyNumberFormat="0" applyFont="0" applyAlignment="0" applyProtection="0"/>
    <xf numFmtId="0" fontId="104" fillId="72" borderId="164" applyNumberFormat="0" applyAlignment="0" applyProtection="0"/>
    <xf numFmtId="0" fontId="94" fillId="16" borderId="169">
      <alignment horizontal="right" vertical="center"/>
    </xf>
    <xf numFmtId="4" fontId="61" fillId="50" borderId="167"/>
    <xf numFmtId="0" fontId="105" fillId="72" borderId="164" applyNumberFormat="0" applyAlignment="0" applyProtection="0"/>
    <xf numFmtId="0" fontId="104" fillId="72" borderId="164" applyNumberFormat="0" applyAlignment="0" applyProtection="0"/>
    <xf numFmtId="0" fontId="94" fillId="16" borderId="169">
      <alignment horizontal="right" vertical="center"/>
    </xf>
    <xf numFmtId="0" fontId="105" fillId="72" borderId="164" applyNumberFormat="0" applyAlignment="0" applyProtection="0"/>
    <xf numFmtId="0" fontId="124" fillId="0" borderId="165" applyNumberFormat="0" applyFill="0" applyAlignment="0" applyProtection="0"/>
    <xf numFmtId="0" fontId="99" fillId="75" borderId="166" applyNumberFormat="0" applyFont="0" applyAlignment="0" applyProtection="0"/>
    <xf numFmtId="49" fontId="62" fillId="0" borderId="167" applyNumberFormat="0" applyFill="0" applyBorder="0" applyProtection="0">
      <alignment horizontal="left" vertical="center"/>
    </xf>
    <xf numFmtId="0" fontId="94" fillId="16" borderId="167">
      <alignment horizontal="right" vertical="center"/>
    </xf>
    <xf numFmtId="0" fontId="61" fillId="16" borderId="170">
      <alignment horizontal="left" vertical="center" wrapText="1" indent="2"/>
    </xf>
    <xf numFmtId="0" fontId="7" fillId="34" borderId="0" applyNumberFormat="0" applyBorder="0" applyAlignment="0" applyProtection="0"/>
    <xf numFmtId="0" fontId="7" fillId="32" borderId="0" applyNumberFormat="0" applyBorder="0" applyAlignment="0" applyProtection="0"/>
    <xf numFmtId="0" fontId="61" fillId="0" borderId="167" applyNumberFormat="0" applyFill="0" applyAlignment="0" applyProtection="0"/>
    <xf numFmtId="0" fontId="105" fillId="72" borderId="164" applyNumberFormat="0" applyAlignment="0" applyProtection="0"/>
    <xf numFmtId="4" fontId="61" fillId="0" borderId="167" applyFill="0" applyBorder="0" applyProtection="0">
      <alignment horizontal="right" vertical="center"/>
    </xf>
    <xf numFmtId="0" fontId="61" fillId="49" borderId="168">
      <alignment horizontal="left" vertical="center"/>
    </xf>
    <xf numFmtId="0" fontId="61" fillId="49" borderId="168">
      <alignment horizontal="left" vertical="center"/>
    </xf>
    <xf numFmtId="0" fontId="61" fillId="0" borderId="170">
      <alignment horizontal="left" vertical="center" wrapText="1" indent="2"/>
    </xf>
    <xf numFmtId="0" fontId="94" fillId="16" borderId="167">
      <alignment horizontal="right" vertical="center"/>
    </xf>
    <xf numFmtId="0" fontId="104" fillId="72" borderId="164" applyNumberFormat="0" applyAlignment="0" applyProtection="0"/>
    <xf numFmtId="0" fontId="109" fillId="0" borderId="165" applyNumberFormat="0" applyFill="0" applyAlignment="0" applyProtection="0"/>
    <xf numFmtId="0" fontId="7" fillId="38" borderId="0" applyNumberFormat="0" applyBorder="0" applyAlignment="0" applyProtection="0"/>
    <xf numFmtId="0" fontId="121" fillId="72" borderId="163" applyNumberFormat="0" applyAlignment="0" applyProtection="0"/>
    <xf numFmtId="0" fontId="117" fillId="59" borderId="164" applyNumberFormat="0" applyAlignment="0" applyProtection="0"/>
    <xf numFmtId="4" fontId="94" fillId="16" borderId="168">
      <alignment horizontal="right" vertical="center"/>
    </xf>
    <xf numFmtId="4" fontId="94" fillId="16" borderId="167">
      <alignment horizontal="right" vertical="center"/>
    </xf>
    <xf numFmtId="0" fontId="61" fillId="16" borderId="170">
      <alignment horizontal="left" vertical="center" wrapText="1" indent="2"/>
    </xf>
    <xf numFmtId="4" fontId="94" fillId="16" borderId="167">
      <alignment horizontal="right" vertical="center"/>
    </xf>
    <xf numFmtId="0" fontId="61" fillId="0" borderId="167">
      <alignment horizontal="right" vertical="center"/>
    </xf>
    <xf numFmtId="0" fontId="96" fillId="49" borderId="167">
      <alignment horizontal="right" vertical="center"/>
    </xf>
    <xf numFmtId="182" fontId="61" fillId="76" borderId="167" applyNumberFormat="0" applyFont="0" applyBorder="0" applyAlignment="0" applyProtection="0">
      <alignment horizontal="right" vertical="center"/>
    </xf>
    <xf numFmtId="4" fontId="94" fillId="49" borderId="175">
      <alignment horizontal="right" vertical="center"/>
    </xf>
    <xf numFmtId="4" fontId="61" fillId="50" borderId="167"/>
    <xf numFmtId="0" fontId="108" fillId="59" borderId="164" applyNumberFormat="0" applyAlignment="0" applyProtection="0"/>
    <xf numFmtId="0" fontId="89" fillId="36" borderId="0" applyNumberFormat="0" applyBorder="0" applyAlignment="0" applyProtection="0"/>
    <xf numFmtId="0" fontId="39" fillId="75" borderId="166" applyNumberFormat="0" applyFont="0" applyAlignment="0" applyProtection="0"/>
    <xf numFmtId="0" fontId="61" fillId="0" borderId="167">
      <alignment horizontal="right" vertical="center"/>
    </xf>
    <xf numFmtId="49" fontId="62" fillId="0" borderId="167" applyNumberFormat="0" applyFill="0" applyBorder="0" applyProtection="0">
      <alignment horizontal="left" vertical="center"/>
    </xf>
    <xf numFmtId="0" fontId="117" fillId="59" borderId="164" applyNumberFormat="0" applyAlignment="0" applyProtection="0"/>
    <xf numFmtId="0" fontId="61" fillId="16" borderId="170">
      <alignment horizontal="left" vertical="center" wrapText="1" indent="2"/>
    </xf>
    <xf numFmtId="0" fontId="94" fillId="16" borderId="167">
      <alignment horizontal="right" vertical="center"/>
    </xf>
    <xf numFmtId="0" fontId="99" fillId="75" borderId="166" applyNumberFormat="0" applyFont="0" applyAlignment="0" applyProtection="0"/>
    <xf numFmtId="4" fontId="61" fillId="0" borderId="167">
      <alignment horizontal="right" vertical="center"/>
    </xf>
    <xf numFmtId="0" fontId="105" fillId="72" borderId="164" applyNumberFormat="0" applyAlignment="0" applyProtection="0"/>
    <xf numFmtId="4" fontId="61" fillId="0" borderId="167" applyFill="0" applyBorder="0" applyProtection="0">
      <alignment horizontal="right" vertical="center"/>
    </xf>
    <xf numFmtId="4" fontId="61" fillId="50" borderId="167"/>
    <xf numFmtId="0" fontId="61" fillId="0" borderId="182" applyNumberFormat="0" applyFill="0" applyAlignment="0" applyProtection="0"/>
    <xf numFmtId="0" fontId="88" fillId="0" borderId="0" applyNumberFormat="0" applyFill="0" applyBorder="0" applyAlignment="0" applyProtection="0"/>
    <xf numFmtId="4" fontId="94" fillId="49" borderId="167">
      <alignment horizontal="right" vertical="center"/>
    </xf>
    <xf numFmtId="0" fontId="7" fillId="35" borderId="0" applyNumberFormat="0" applyBorder="0" applyAlignment="0" applyProtection="0"/>
    <xf numFmtId="0" fontId="117" fillId="59" borderId="164" applyNumberFormat="0" applyAlignment="0" applyProtection="0"/>
    <xf numFmtId="49" fontId="61" fillId="0" borderId="168" applyNumberFormat="0" applyFont="0" applyFill="0" applyBorder="0" applyProtection="0">
      <alignment horizontal="left" vertical="center" indent="5"/>
    </xf>
    <xf numFmtId="0" fontId="94" fillId="16" borderId="169">
      <alignment horizontal="right" vertical="center"/>
    </xf>
    <xf numFmtId="4" fontId="61" fillId="0" borderId="167">
      <alignment horizontal="right" vertical="center"/>
    </xf>
    <xf numFmtId="0" fontId="61" fillId="0" borderId="170">
      <alignment horizontal="left" vertical="center" wrapText="1" indent="2"/>
    </xf>
    <xf numFmtId="0" fontId="117" fillId="59" borderId="164" applyNumberFormat="0" applyAlignment="0" applyProtection="0"/>
    <xf numFmtId="0" fontId="61" fillId="0" borderId="185">
      <alignment horizontal="left" vertical="center" wrapText="1" indent="2"/>
    </xf>
    <xf numFmtId="0" fontId="117" fillId="59" borderId="172" applyNumberFormat="0" applyAlignment="0" applyProtection="0"/>
    <xf numFmtId="49" fontId="61" fillId="0" borderId="168" applyNumberFormat="0" applyFont="0" applyFill="0" applyBorder="0" applyProtection="0">
      <alignment horizontal="left" vertical="center" indent="5"/>
    </xf>
    <xf numFmtId="0" fontId="124" fillId="0" borderId="165" applyNumberFormat="0" applyFill="0" applyAlignment="0" applyProtection="0"/>
    <xf numFmtId="0" fontId="94" fillId="16" borderId="167">
      <alignment horizontal="right" vertical="center"/>
    </xf>
    <xf numFmtId="0" fontId="105" fillId="72" borderId="172" applyNumberFormat="0" applyAlignment="0" applyProtection="0"/>
    <xf numFmtId="0" fontId="102" fillId="72" borderId="163" applyNumberFormat="0" applyAlignment="0" applyProtection="0"/>
    <xf numFmtId="0" fontId="104" fillId="72" borderId="164" applyNumberFormat="0" applyAlignment="0" applyProtection="0"/>
    <xf numFmtId="0" fontId="94" fillId="16" borderId="167">
      <alignment horizontal="right" vertical="center"/>
    </xf>
    <xf numFmtId="0" fontId="105" fillId="72" borderId="172" applyNumberFormat="0" applyAlignment="0" applyProtection="0"/>
    <xf numFmtId="0" fontId="87" fillId="0" borderId="0" applyNumberFormat="0" applyFill="0" applyBorder="0" applyAlignment="0" applyProtection="0"/>
    <xf numFmtId="0" fontId="124" fillId="0" borderId="165" applyNumberFormat="0" applyFill="0" applyAlignment="0" applyProtection="0"/>
    <xf numFmtId="49" fontId="61" fillId="0" borderId="182" applyNumberFormat="0" applyFont="0" applyFill="0" applyBorder="0" applyProtection="0">
      <alignment horizontal="left" vertical="center" indent="2"/>
    </xf>
    <xf numFmtId="0" fontId="105" fillId="72" borderId="164" applyNumberFormat="0" applyAlignment="0" applyProtection="0"/>
    <xf numFmtId="0" fontId="124" fillId="0" borderId="165" applyNumberFormat="0" applyFill="0" applyAlignment="0" applyProtection="0"/>
    <xf numFmtId="4" fontId="61" fillId="50" borderId="175"/>
    <xf numFmtId="0" fontId="61" fillId="16" borderId="185">
      <alignment horizontal="left" vertical="center" wrapText="1" indent="2"/>
    </xf>
    <xf numFmtId="0" fontId="61" fillId="0" borderId="167" applyNumberFormat="0" applyFill="0" applyAlignment="0" applyProtection="0"/>
    <xf numFmtId="4" fontId="96" fillId="49" borderId="175">
      <alignment horizontal="right" vertical="center"/>
    </xf>
    <xf numFmtId="0" fontId="105" fillId="72" borderId="164" applyNumberFormat="0" applyAlignment="0" applyProtection="0"/>
    <xf numFmtId="0" fontId="121" fillId="72" borderId="163" applyNumberFormat="0" applyAlignment="0" applyProtection="0"/>
    <xf numFmtId="0" fontId="102" fillId="72" borderId="163" applyNumberFormat="0" applyAlignment="0" applyProtection="0"/>
    <xf numFmtId="0" fontId="121" fillId="72" borderId="163" applyNumberFormat="0" applyAlignment="0" applyProtection="0"/>
    <xf numFmtId="4" fontId="94" fillId="16" borderId="167">
      <alignment horizontal="right" vertical="center"/>
    </xf>
    <xf numFmtId="0" fontId="124" fillId="0" borderId="165" applyNumberFormat="0" applyFill="0" applyAlignment="0" applyProtection="0"/>
    <xf numFmtId="0" fontId="94" fillId="16" borderId="168">
      <alignment horizontal="right" vertical="center"/>
    </xf>
    <xf numFmtId="0" fontId="94" fillId="16" borderId="167">
      <alignment horizontal="right" vertical="center"/>
    </xf>
    <xf numFmtId="0" fontId="94" fillId="16" borderId="167">
      <alignment horizontal="right" vertical="center"/>
    </xf>
    <xf numFmtId="0" fontId="94" fillId="16" borderId="169">
      <alignment horizontal="right" vertical="center"/>
    </xf>
    <xf numFmtId="0" fontId="61" fillId="50" borderId="167"/>
    <xf numFmtId="0" fontId="89" fillId="39" borderId="0" applyNumberFormat="0" applyBorder="0" applyAlignment="0" applyProtection="0"/>
    <xf numFmtId="4" fontId="96" fillId="49" borderId="167">
      <alignment horizontal="right" vertical="center"/>
    </xf>
    <xf numFmtId="0" fontId="94" fillId="16" borderId="168">
      <alignment horizontal="right" vertical="center"/>
    </xf>
    <xf numFmtId="0" fontId="104" fillId="72" borderId="164" applyNumberFormat="0" applyAlignment="0" applyProtection="0"/>
    <xf numFmtId="0" fontId="61" fillId="0" borderId="167">
      <alignment horizontal="right" vertical="center"/>
    </xf>
    <xf numFmtId="0" fontId="102" fillId="72" borderId="163" applyNumberFormat="0" applyAlignment="0" applyProtection="0"/>
    <xf numFmtId="4" fontId="61" fillId="0" borderId="167">
      <alignment horizontal="right" vertical="center"/>
    </xf>
    <xf numFmtId="0" fontId="94" fillId="16" borderId="168">
      <alignment horizontal="right" vertical="center"/>
    </xf>
    <xf numFmtId="0" fontId="39" fillId="75" borderId="166" applyNumberFormat="0" applyFont="0" applyAlignment="0" applyProtection="0"/>
    <xf numFmtId="0" fontId="99" fillId="75" borderId="166" applyNumberFormat="0" applyFont="0" applyAlignment="0" applyProtection="0"/>
    <xf numFmtId="0" fontId="105" fillId="72" borderId="164" applyNumberFormat="0" applyAlignment="0" applyProtection="0"/>
    <xf numFmtId="0" fontId="124" fillId="0" borderId="165" applyNumberFormat="0" applyFill="0" applyAlignment="0" applyProtection="0"/>
    <xf numFmtId="0" fontId="124" fillId="0" borderId="165" applyNumberFormat="0" applyFill="0" applyAlignment="0" applyProtection="0"/>
    <xf numFmtId="0" fontId="94" fillId="49" borderId="167">
      <alignment horizontal="right" vertical="center"/>
    </xf>
    <xf numFmtId="0" fontId="94" fillId="49" borderId="167">
      <alignment horizontal="right" vertical="center"/>
    </xf>
    <xf numFmtId="49" fontId="61" fillId="0" borderId="168" applyNumberFormat="0" applyFont="0" applyFill="0" applyBorder="0" applyProtection="0">
      <alignment horizontal="left" vertical="center" indent="5"/>
    </xf>
    <xf numFmtId="0" fontId="85" fillId="27" borderId="140" applyNumberFormat="0" applyAlignment="0" applyProtection="0"/>
    <xf numFmtId="0" fontId="87" fillId="0" borderId="0" applyNumberFormat="0" applyFill="0" applyBorder="0" applyAlignment="0" applyProtection="0"/>
    <xf numFmtId="0" fontId="7" fillId="43" borderId="0" applyNumberFormat="0" applyBorder="0" applyAlignment="0" applyProtection="0"/>
    <xf numFmtId="0" fontId="124" fillId="0" borderId="173" applyNumberFormat="0" applyFill="0" applyAlignment="0" applyProtection="0"/>
    <xf numFmtId="4" fontId="94" fillId="16" borderId="167">
      <alignment horizontal="right" vertical="center"/>
    </xf>
    <xf numFmtId="0" fontId="89" fillId="30" borderId="0" applyNumberFormat="0" applyBorder="0" applyAlignment="0" applyProtection="0"/>
    <xf numFmtId="4" fontId="94" fillId="16" borderId="167">
      <alignment horizontal="right" vertical="center"/>
    </xf>
    <xf numFmtId="0" fontId="117" fillId="59" borderId="164" applyNumberFormat="0" applyAlignment="0" applyProtection="0"/>
    <xf numFmtId="0" fontId="105" fillId="72" borderId="164" applyNumberFormat="0" applyAlignment="0" applyProtection="0"/>
    <xf numFmtId="0" fontId="104" fillId="72" borderId="164" applyNumberFormat="0" applyAlignment="0" applyProtection="0"/>
    <xf numFmtId="0" fontId="61" fillId="0" borderId="170">
      <alignment horizontal="left" vertical="center" wrapText="1" indent="2"/>
    </xf>
    <xf numFmtId="0" fontId="7" fillId="28" borderId="0" applyNumberFormat="0" applyBorder="0" applyAlignment="0" applyProtection="0"/>
    <xf numFmtId="0" fontId="108" fillId="59" borderId="164" applyNumberFormat="0" applyAlignment="0" applyProtection="0"/>
    <xf numFmtId="0" fontId="109" fillId="0" borderId="165" applyNumberFormat="0" applyFill="0" applyAlignment="0" applyProtection="0"/>
    <xf numFmtId="182" fontId="61" fillId="76" borderId="167" applyNumberFormat="0" applyFont="0" applyBorder="0" applyAlignment="0" applyProtection="0">
      <alignment horizontal="right" vertical="center"/>
    </xf>
    <xf numFmtId="0" fontId="117" fillId="59" borderId="164" applyNumberFormat="0" applyAlignment="0" applyProtection="0"/>
    <xf numFmtId="0" fontId="7" fillId="31" borderId="0" applyNumberFormat="0" applyBorder="0" applyAlignment="0" applyProtection="0"/>
    <xf numFmtId="0" fontId="61" fillId="0" borderId="170">
      <alignment horizontal="left" vertical="center" wrapText="1" indent="2"/>
    </xf>
    <xf numFmtId="0" fontId="94" fillId="16" borderId="167">
      <alignment horizontal="right" vertical="center"/>
    </xf>
    <xf numFmtId="4" fontId="61" fillId="0" borderId="167" applyFill="0" applyBorder="0" applyProtection="0">
      <alignment horizontal="right" vertical="center"/>
    </xf>
    <xf numFmtId="0" fontId="86" fillId="27" borderId="139" applyNumberFormat="0" applyAlignment="0" applyProtection="0"/>
    <xf numFmtId="0" fontId="117" fillId="59" borderId="164" applyNumberFormat="0" applyAlignment="0" applyProtection="0"/>
    <xf numFmtId="0" fontId="61" fillId="0" borderId="170">
      <alignment horizontal="left" vertical="center" wrapText="1" indent="2"/>
    </xf>
    <xf numFmtId="0" fontId="61" fillId="50" borderId="167"/>
    <xf numFmtId="0" fontId="61" fillId="0" borderId="167">
      <alignment horizontal="right" vertical="center"/>
    </xf>
    <xf numFmtId="0" fontId="61" fillId="50" borderId="167"/>
    <xf numFmtId="0" fontId="99" fillId="75" borderId="174" applyNumberFormat="0" applyFont="0" applyAlignment="0" applyProtection="0"/>
    <xf numFmtId="0" fontId="61" fillId="0" borderId="167">
      <alignment horizontal="right" vertical="center"/>
    </xf>
    <xf numFmtId="0" fontId="61" fillId="0" borderId="170">
      <alignment horizontal="left" vertical="center" wrapText="1" indent="2"/>
    </xf>
    <xf numFmtId="0" fontId="117" fillId="59" borderId="164" applyNumberFormat="0" applyAlignment="0" applyProtection="0"/>
    <xf numFmtId="4" fontId="94" fillId="49" borderId="167">
      <alignment horizontal="right" vertical="center"/>
    </xf>
    <xf numFmtId="0" fontId="61" fillId="16" borderId="170">
      <alignment horizontal="left" vertical="center" wrapText="1" indent="2"/>
    </xf>
    <xf numFmtId="0" fontId="121" fillId="72" borderId="163" applyNumberFormat="0" applyAlignment="0" applyProtection="0"/>
    <xf numFmtId="0" fontId="96" fillId="49" borderId="167">
      <alignment horizontal="right" vertical="center"/>
    </xf>
    <xf numFmtId="0" fontId="7" fillId="38" borderId="0" applyNumberFormat="0" applyBorder="0" applyAlignment="0" applyProtection="0"/>
    <xf numFmtId="0" fontId="108" fillId="59" borderId="164" applyNumberFormat="0" applyAlignment="0" applyProtection="0"/>
    <xf numFmtId="4" fontId="96" fillId="49" borderId="167">
      <alignment horizontal="right" vertical="center"/>
    </xf>
    <xf numFmtId="0" fontId="109" fillId="0" borderId="165" applyNumberFormat="0" applyFill="0" applyAlignment="0" applyProtection="0"/>
    <xf numFmtId="0" fontId="105" fillId="72" borderId="179" applyNumberFormat="0" applyAlignment="0" applyProtection="0"/>
    <xf numFmtId="0" fontId="109" fillId="0" borderId="173" applyNumberFormat="0" applyFill="0" applyAlignment="0" applyProtection="0"/>
    <xf numFmtId="0" fontId="89" fillId="33" borderId="0" applyNumberFormat="0" applyBorder="0" applyAlignment="0" applyProtection="0"/>
    <xf numFmtId="0" fontId="94" fillId="16" borderId="168">
      <alignment horizontal="right" vertical="center"/>
    </xf>
    <xf numFmtId="0" fontId="102" fillId="72" borderId="163" applyNumberFormat="0" applyAlignment="0" applyProtection="0"/>
    <xf numFmtId="0" fontId="7" fillId="44" borderId="0" applyNumberFormat="0" applyBorder="0" applyAlignment="0" applyProtection="0"/>
    <xf numFmtId="0" fontId="61" fillId="50" borderId="167"/>
    <xf numFmtId="4" fontId="96" fillId="49" borderId="167">
      <alignment horizontal="right" vertical="center"/>
    </xf>
    <xf numFmtId="0" fontId="96" fillId="49" borderId="167">
      <alignment horizontal="right" vertical="center"/>
    </xf>
    <xf numFmtId="0" fontId="121" fillId="72" borderId="163" applyNumberFormat="0" applyAlignment="0" applyProtection="0"/>
    <xf numFmtId="49" fontId="61" fillId="0" borderId="167" applyNumberFormat="0" applyFont="0" applyFill="0" applyBorder="0" applyProtection="0">
      <alignment horizontal="left" vertical="center" indent="2"/>
    </xf>
    <xf numFmtId="0" fontId="7" fillId="38" borderId="0" applyNumberFormat="0" applyBorder="0" applyAlignment="0" applyProtection="0"/>
    <xf numFmtId="0" fontId="109" fillId="0" borderId="165" applyNumberFormat="0" applyFill="0" applyAlignment="0" applyProtection="0"/>
    <xf numFmtId="0" fontId="7" fillId="41" borderId="0" applyNumberFormat="0" applyBorder="0" applyAlignment="0" applyProtection="0"/>
    <xf numFmtId="0" fontId="121" fillId="72" borderId="163" applyNumberFormat="0" applyAlignment="0" applyProtection="0"/>
    <xf numFmtId="4" fontId="61" fillId="50" borderId="167"/>
    <xf numFmtId="0" fontId="30" fillId="0" borderId="141" applyNumberFormat="0" applyFill="0" applyAlignment="0" applyProtection="0"/>
    <xf numFmtId="0" fontId="7" fillId="29" borderId="0" applyNumberFormat="0" applyBorder="0" applyAlignment="0" applyProtection="0"/>
    <xf numFmtId="0" fontId="94" fillId="16" borderId="169">
      <alignment horizontal="right" vertical="center"/>
    </xf>
    <xf numFmtId="0" fontId="94" fillId="16" borderId="183">
      <alignment horizontal="right" vertical="center"/>
    </xf>
    <xf numFmtId="0" fontId="102" fillId="72" borderId="163" applyNumberFormat="0" applyAlignment="0" applyProtection="0"/>
    <xf numFmtId="0" fontId="94" fillId="49" borderId="167">
      <alignment horizontal="right" vertical="center"/>
    </xf>
    <xf numFmtId="182" fontId="61" fillId="76" borderId="182" applyNumberFormat="0" applyFont="0" applyBorder="0" applyAlignment="0" applyProtection="0">
      <alignment horizontal="right" vertical="center"/>
    </xf>
    <xf numFmtId="4" fontId="94" fillId="16" borderId="183">
      <alignment horizontal="right" vertical="center"/>
    </xf>
    <xf numFmtId="4" fontId="61" fillId="0" borderId="167">
      <alignment horizontal="right" vertical="center"/>
    </xf>
    <xf numFmtId="0" fontId="61" fillId="49" borderId="176">
      <alignment horizontal="left" vertical="center"/>
    </xf>
    <xf numFmtId="49" fontId="61" fillId="0" borderId="167" applyNumberFormat="0" applyFont="0" applyFill="0" applyBorder="0" applyProtection="0">
      <alignment horizontal="left" vertical="center" indent="2"/>
    </xf>
    <xf numFmtId="0" fontId="61" fillId="16" borderId="170">
      <alignment horizontal="left" vertical="center" wrapText="1" indent="2"/>
    </xf>
    <xf numFmtId="4" fontId="94" fillId="16" borderId="167">
      <alignment horizontal="right" vertical="center"/>
    </xf>
    <xf numFmtId="0" fontId="87" fillId="0" borderId="0" applyNumberFormat="0" applyFill="0" applyBorder="0" applyAlignment="0" applyProtection="0"/>
    <xf numFmtId="4" fontId="61" fillId="50" borderId="167"/>
    <xf numFmtId="0" fontId="94" fillId="49" borderId="167">
      <alignment horizontal="right" vertical="center"/>
    </xf>
    <xf numFmtId="4" fontId="61" fillId="50" borderId="182"/>
    <xf numFmtId="0" fontId="89" fillId="30" borderId="0" applyNumberFormat="0" applyBorder="0" applyAlignment="0" applyProtection="0"/>
    <xf numFmtId="4" fontId="94" fillId="16" borderId="167">
      <alignment horizontal="right" vertical="center"/>
    </xf>
    <xf numFmtId="0" fontId="105" fillId="72" borderId="164" applyNumberFormat="0" applyAlignment="0" applyProtection="0"/>
    <xf numFmtId="0" fontId="99" fillId="75" borderId="166" applyNumberFormat="0" applyFont="0" applyAlignment="0" applyProtection="0"/>
    <xf numFmtId="0" fontId="124" fillId="0" borderId="165" applyNumberFormat="0" applyFill="0" applyAlignment="0" applyProtection="0"/>
    <xf numFmtId="0" fontId="124" fillId="0" borderId="165" applyNumberFormat="0" applyFill="0" applyAlignment="0" applyProtection="0"/>
    <xf numFmtId="4" fontId="94" fillId="16" borderId="168">
      <alignment horizontal="right" vertical="center"/>
    </xf>
    <xf numFmtId="0" fontId="89" fillId="45" borderId="0" applyNumberFormat="0" applyBorder="0" applyAlignment="0" applyProtection="0"/>
    <xf numFmtId="4" fontId="96" fillId="49" borderId="167">
      <alignment horizontal="right" vertical="center"/>
    </xf>
    <xf numFmtId="0" fontId="94" fillId="16" borderId="167">
      <alignment horizontal="right" vertical="center"/>
    </xf>
    <xf numFmtId="0" fontId="30" fillId="0" borderId="141" applyNumberFormat="0" applyFill="0" applyAlignment="0" applyProtection="0"/>
    <xf numFmtId="0" fontId="105" fillId="72" borderId="164" applyNumberFormat="0" applyAlignment="0" applyProtection="0"/>
    <xf numFmtId="4" fontId="94" fillId="16" borderId="184">
      <alignment horizontal="right" vertical="center"/>
    </xf>
    <xf numFmtId="0" fontId="7" fillId="35" borderId="0" applyNumberFormat="0" applyBorder="0" applyAlignment="0" applyProtection="0"/>
    <xf numFmtId="0" fontId="7" fillId="41" borderId="0" applyNumberFormat="0" applyBorder="0" applyAlignment="0" applyProtection="0"/>
    <xf numFmtId="0" fontId="104" fillId="72" borderId="164" applyNumberFormat="0" applyAlignment="0" applyProtection="0"/>
    <xf numFmtId="0" fontId="94" fillId="49" borderId="167">
      <alignment horizontal="right" vertical="center"/>
    </xf>
    <xf numFmtId="0" fontId="105" fillId="72" borderId="164" applyNumberFormat="0" applyAlignment="0" applyProtection="0"/>
    <xf numFmtId="4" fontId="61" fillId="0" borderId="167" applyFill="0" applyBorder="0" applyProtection="0">
      <alignment horizontal="right" vertical="center"/>
    </xf>
    <xf numFmtId="0" fontId="61" fillId="16" borderId="170">
      <alignment horizontal="left" vertical="center" wrapText="1" indent="2"/>
    </xf>
    <xf numFmtId="4" fontId="61" fillId="50" borderId="167"/>
    <xf numFmtId="0" fontId="86" fillId="27" borderId="139" applyNumberFormat="0" applyAlignment="0" applyProtection="0"/>
    <xf numFmtId="4" fontId="94" fillId="16" borderId="169">
      <alignment horizontal="right" vertical="center"/>
    </xf>
    <xf numFmtId="0" fontId="7" fillId="41" borderId="0" applyNumberFormat="0" applyBorder="0" applyAlignment="0" applyProtection="0"/>
    <xf numFmtId="0" fontId="89" fillId="42" borderId="0" applyNumberFormat="0" applyBorder="0" applyAlignment="0" applyProtection="0"/>
    <xf numFmtId="0" fontId="108" fillId="59" borderId="164" applyNumberFormat="0" applyAlignment="0" applyProtection="0"/>
    <xf numFmtId="0" fontId="121" fillId="72" borderId="171" applyNumberFormat="0" applyAlignment="0" applyProtection="0"/>
    <xf numFmtId="49" fontId="62" fillId="0" borderId="167" applyNumberFormat="0" applyFill="0" applyBorder="0" applyProtection="0">
      <alignment horizontal="left" vertical="center"/>
    </xf>
    <xf numFmtId="182" fontId="61" fillId="76" borderId="175" applyNumberFormat="0" applyFont="0" applyBorder="0" applyAlignment="0" applyProtection="0">
      <alignment horizontal="right" vertical="center"/>
    </xf>
    <xf numFmtId="0" fontId="61" fillId="50" borderId="175"/>
    <xf numFmtId="49" fontId="61" fillId="0" borderId="176" applyNumberFormat="0" applyFont="0" applyFill="0" applyBorder="0" applyProtection="0">
      <alignment horizontal="left" vertical="center" indent="5"/>
    </xf>
    <xf numFmtId="0" fontId="61" fillId="16" borderId="170">
      <alignment horizontal="left" vertical="center" wrapText="1" indent="2"/>
    </xf>
    <xf numFmtId="0" fontId="61" fillId="16" borderId="170">
      <alignment horizontal="left" vertical="center" wrapText="1" indent="2"/>
    </xf>
    <xf numFmtId="0" fontId="105" fillId="72" borderId="164" applyNumberFormat="0" applyAlignment="0" applyProtection="0"/>
    <xf numFmtId="0" fontId="89" fillId="30" borderId="0" applyNumberFormat="0" applyBorder="0" applyAlignment="0" applyProtection="0"/>
    <xf numFmtId="0" fontId="94" fillId="16" borderId="167">
      <alignment horizontal="right" vertical="center"/>
    </xf>
    <xf numFmtId="182" fontId="61" fillId="76" borderId="167" applyNumberFormat="0" applyFont="0" applyBorder="0" applyAlignment="0" applyProtection="0">
      <alignment horizontal="right" vertical="center"/>
    </xf>
    <xf numFmtId="0" fontId="7" fillId="44" borderId="0" applyNumberFormat="0" applyBorder="0" applyAlignment="0" applyProtection="0"/>
    <xf numFmtId="0" fontId="105" fillId="72" borderId="164" applyNumberFormat="0" applyAlignment="0" applyProtection="0"/>
    <xf numFmtId="0" fontId="7" fillId="35" borderId="0" applyNumberFormat="0" applyBorder="0" applyAlignment="0" applyProtection="0"/>
    <xf numFmtId="0" fontId="105" fillId="72" borderId="164" applyNumberFormat="0" applyAlignment="0" applyProtection="0"/>
    <xf numFmtId="0" fontId="121" fillId="72" borderId="163" applyNumberFormat="0" applyAlignment="0" applyProtection="0"/>
    <xf numFmtId="0" fontId="121" fillId="72" borderId="171" applyNumberFormat="0" applyAlignment="0" applyProtection="0"/>
    <xf numFmtId="0" fontId="124" fillId="0" borderId="165" applyNumberFormat="0" applyFill="0" applyAlignment="0" applyProtection="0"/>
    <xf numFmtId="4" fontId="94" fillId="16" borderId="182">
      <alignment horizontal="right" vertical="center"/>
    </xf>
    <xf numFmtId="0" fontId="94" fillId="49" borderId="167">
      <alignment horizontal="right" vertical="center"/>
    </xf>
    <xf numFmtId="0" fontId="121" fillId="72" borderId="163" applyNumberFormat="0" applyAlignment="0" applyProtection="0"/>
    <xf numFmtId="0" fontId="7" fillId="29" borderId="0" applyNumberFormat="0" applyBorder="0" applyAlignment="0" applyProtection="0"/>
    <xf numFmtId="4" fontId="96" fillId="49" borderId="167">
      <alignment horizontal="right" vertical="center"/>
    </xf>
    <xf numFmtId="4" fontId="94" fillId="49" borderId="167">
      <alignment horizontal="right" vertical="center"/>
    </xf>
    <xf numFmtId="0" fontId="94" fillId="16" borderId="175">
      <alignment horizontal="right" vertical="center"/>
    </xf>
    <xf numFmtId="0" fontId="124" fillId="0" borderId="180" applyNumberFormat="0" applyFill="0" applyAlignment="0" applyProtection="0"/>
    <xf numFmtId="0" fontId="61" fillId="0" borderId="167" applyNumberFormat="0" applyFill="0" applyAlignment="0" applyProtection="0"/>
    <xf numFmtId="4" fontId="94" fillId="49" borderId="167">
      <alignment horizontal="right" vertical="center"/>
    </xf>
    <xf numFmtId="0" fontId="121" fillId="72" borderId="171" applyNumberFormat="0" applyAlignment="0" applyProtection="0"/>
    <xf numFmtId="0" fontId="7" fillId="37" borderId="0" applyNumberFormat="0" applyBorder="0" applyAlignment="0" applyProtection="0"/>
    <xf numFmtId="0" fontId="109" fillId="0" borderId="165" applyNumberFormat="0" applyFill="0" applyAlignment="0" applyProtection="0"/>
    <xf numFmtId="0" fontId="7" fillId="31" borderId="0" applyNumberFormat="0" applyBorder="0" applyAlignment="0" applyProtection="0"/>
    <xf numFmtId="0" fontId="94" fillId="16" borderId="176">
      <alignment horizontal="right" vertical="center"/>
    </xf>
    <xf numFmtId="0" fontId="61" fillId="0" borderId="167" applyNumberFormat="0" applyFill="0" applyAlignment="0" applyProtection="0"/>
    <xf numFmtId="0" fontId="96" fillId="49" borderId="167">
      <alignment horizontal="right" vertical="center"/>
    </xf>
    <xf numFmtId="0" fontId="99" fillId="75" borderId="166" applyNumberFormat="0" applyFont="0" applyAlignment="0" applyProtection="0"/>
    <xf numFmtId="4" fontId="94" fillId="16" borderId="167">
      <alignment horizontal="right" vertical="center"/>
    </xf>
    <xf numFmtId="0" fontId="61" fillId="0" borderId="178">
      <alignment horizontal="left" vertical="center" wrapText="1" indent="2"/>
    </xf>
    <xf numFmtId="4" fontId="94" fillId="16" borderId="167">
      <alignment horizontal="right" vertical="center"/>
    </xf>
    <xf numFmtId="0" fontId="117" fillId="59" borderId="164" applyNumberFormat="0" applyAlignment="0" applyProtection="0"/>
    <xf numFmtId="4" fontId="96" fillId="49" borderId="167">
      <alignment horizontal="right" vertical="center"/>
    </xf>
    <xf numFmtId="0" fontId="99" fillId="75" borderId="166" applyNumberFormat="0" applyFont="0" applyAlignment="0" applyProtection="0"/>
    <xf numFmtId="0" fontId="61" fillId="0" borderId="167" applyNumberFormat="0" applyFill="0" applyAlignment="0" applyProtection="0"/>
    <xf numFmtId="0" fontId="94" fillId="16" borderId="169">
      <alignment horizontal="right" vertical="center"/>
    </xf>
    <xf numFmtId="0" fontId="94" fillId="16" borderId="182">
      <alignment horizontal="right" vertical="center"/>
    </xf>
    <xf numFmtId="49" fontId="61" fillId="0" borderId="175" applyNumberFormat="0" applyFont="0" applyFill="0" applyBorder="0" applyProtection="0">
      <alignment horizontal="left" vertical="center" indent="2"/>
    </xf>
    <xf numFmtId="4" fontId="94" fillId="16" borderId="167">
      <alignment horizontal="right" vertical="center"/>
    </xf>
    <xf numFmtId="0" fontId="102" fillId="72" borderId="163" applyNumberFormat="0" applyAlignment="0" applyProtection="0"/>
    <xf numFmtId="0" fontId="61" fillId="0" borderId="175" applyNumberFormat="0" applyFill="0" applyAlignment="0" applyProtection="0"/>
    <xf numFmtId="4" fontId="61" fillId="50" borderId="167"/>
    <xf numFmtId="0" fontId="108" fillId="59" borderId="164" applyNumberFormat="0" applyAlignment="0" applyProtection="0"/>
    <xf numFmtId="0" fontId="105" fillId="72" borderId="164" applyNumberFormat="0" applyAlignment="0" applyProtection="0"/>
    <xf numFmtId="0" fontId="61" fillId="49" borderId="168">
      <alignment horizontal="left" vertical="center"/>
    </xf>
    <xf numFmtId="0" fontId="108" fillId="59" borderId="164" applyNumberFormat="0" applyAlignment="0" applyProtection="0"/>
    <xf numFmtId="0" fontId="96" fillId="49" borderId="167">
      <alignment horizontal="right" vertical="center"/>
    </xf>
    <xf numFmtId="0" fontId="94" fillId="16" borderId="167">
      <alignment horizontal="right" vertical="center"/>
    </xf>
    <xf numFmtId="0" fontId="61" fillId="49" borderId="168">
      <alignment horizontal="left" vertical="center"/>
    </xf>
    <xf numFmtId="0" fontId="39" fillId="75" borderId="166" applyNumberFormat="0" applyFont="0" applyAlignment="0" applyProtection="0"/>
    <xf numFmtId="0" fontId="89" fillId="42" borderId="0" applyNumberFormat="0" applyBorder="0" applyAlignment="0" applyProtection="0"/>
    <xf numFmtId="0" fontId="121" fillId="72" borderId="163" applyNumberFormat="0" applyAlignment="0" applyProtection="0"/>
    <xf numFmtId="0" fontId="7" fillId="41" borderId="0" applyNumberFormat="0" applyBorder="0" applyAlignment="0" applyProtection="0"/>
    <xf numFmtId="0" fontId="104" fillId="72" borderId="164" applyNumberFormat="0" applyAlignment="0" applyProtection="0"/>
    <xf numFmtId="0" fontId="117" fillId="59" borderId="164" applyNumberFormat="0" applyAlignment="0" applyProtection="0"/>
    <xf numFmtId="0" fontId="7" fillId="32" borderId="0" applyNumberFormat="0" applyBorder="0" applyAlignment="0" applyProtection="0"/>
    <xf numFmtId="0" fontId="105" fillId="72" borderId="164" applyNumberFormat="0" applyAlignment="0" applyProtection="0"/>
    <xf numFmtId="0" fontId="85" fillId="27" borderId="140" applyNumberFormat="0" applyAlignment="0" applyProtection="0"/>
    <xf numFmtId="0" fontId="7" fillId="34" borderId="0" applyNumberFormat="0" applyBorder="0" applyAlignment="0" applyProtection="0"/>
    <xf numFmtId="49" fontId="62" fillId="0" borderId="167" applyNumberFormat="0" applyFill="0" applyBorder="0" applyProtection="0">
      <alignment horizontal="left" vertical="center"/>
    </xf>
    <xf numFmtId="0" fontId="105" fillId="72" borderId="164" applyNumberFormat="0" applyAlignment="0" applyProtection="0"/>
    <xf numFmtId="0" fontId="104" fillId="72" borderId="164" applyNumberFormat="0" applyAlignment="0" applyProtection="0"/>
    <xf numFmtId="4" fontId="94" fillId="16" borderId="176">
      <alignment horizontal="right" vertical="center"/>
    </xf>
    <xf numFmtId="4" fontId="94" fillId="16" borderId="168">
      <alignment horizontal="right" vertical="center"/>
    </xf>
    <xf numFmtId="49" fontId="62" fillId="0" borderId="167" applyNumberFormat="0" applyFill="0" applyBorder="0" applyProtection="0">
      <alignment horizontal="left" vertical="center"/>
    </xf>
    <xf numFmtId="0" fontId="7" fillId="37" borderId="0" applyNumberFormat="0" applyBorder="0" applyAlignment="0" applyProtection="0"/>
    <xf numFmtId="0" fontId="61" fillId="16" borderId="185">
      <alignment horizontal="left" vertical="center" wrapText="1" indent="2"/>
    </xf>
    <xf numFmtId="0" fontId="89" fillId="45" borderId="0" applyNumberFormat="0" applyBorder="0" applyAlignment="0" applyProtection="0"/>
    <xf numFmtId="0" fontId="94" fillId="49" borderId="167">
      <alignment horizontal="right" vertical="center"/>
    </xf>
    <xf numFmtId="0" fontId="7" fillId="31" borderId="0" applyNumberFormat="0" applyBorder="0" applyAlignment="0" applyProtection="0"/>
    <xf numFmtId="0" fontId="7" fillId="44" borderId="0" applyNumberFormat="0" applyBorder="0" applyAlignment="0" applyProtection="0"/>
    <xf numFmtId="0" fontId="117" fillId="59" borderId="164" applyNumberFormat="0" applyAlignment="0" applyProtection="0"/>
    <xf numFmtId="0" fontId="124" fillId="0" borderId="173" applyNumberFormat="0" applyFill="0" applyAlignment="0" applyProtection="0"/>
    <xf numFmtId="4" fontId="94" fillId="16" borderId="177">
      <alignment horizontal="right" vertical="center"/>
    </xf>
    <xf numFmtId="4" fontId="94" fillId="16" borderId="168">
      <alignment horizontal="right" vertical="center"/>
    </xf>
    <xf numFmtId="4" fontId="94" fillId="16" borderId="175">
      <alignment horizontal="right" vertical="center"/>
    </xf>
    <xf numFmtId="0" fontId="94" fillId="16" borderId="167">
      <alignment horizontal="right" vertical="center"/>
    </xf>
    <xf numFmtId="182" fontId="61" fillId="76" borderId="167" applyNumberFormat="0" applyFont="0" applyBorder="0" applyAlignment="0" applyProtection="0">
      <alignment horizontal="right" vertical="center"/>
    </xf>
    <xf numFmtId="0" fontId="108" fillId="59" borderId="164" applyNumberFormat="0" applyAlignment="0" applyProtection="0"/>
    <xf numFmtId="0" fontId="7" fillId="29" borderId="0" applyNumberFormat="0" applyBorder="0" applyAlignment="0" applyProtection="0"/>
    <xf numFmtId="0" fontId="109" fillId="0" borderId="165" applyNumberFormat="0" applyFill="0" applyAlignment="0" applyProtection="0"/>
    <xf numFmtId="0" fontId="124" fillId="0" borderId="165" applyNumberFormat="0" applyFill="0" applyAlignment="0" applyProtection="0"/>
    <xf numFmtId="0" fontId="61" fillId="0" borderId="167" applyNumberFormat="0" applyFill="0" applyAlignment="0" applyProtection="0"/>
    <xf numFmtId="0" fontId="61" fillId="0" borderId="167">
      <alignment horizontal="right" vertical="center"/>
    </xf>
    <xf numFmtId="0" fontId="7" fillId="28" borderId="0" applyNumberFormat="0" applyBorder="0" applyAlignment="0" applyProtection="0"/>
    <xf numFmtId="182" fontId="61" fillId="76" borderId="167" applyNumberFormat="0" applyFont="0" applyBorder="0" applyAlignment="0" applyProtection="0">
      <alignment horizontal="right" vertical="center"/>
    </xf>
    <xf numFmtId="0" fontId="88" fillId="0" borderId="0" applyNumberFormat="0" applyFill="0" applyBorder="0" applyAlignment="0" applyProtection="0"/>
    <xf numFmtId="0" fontId="61" fillId="0" borderId="185">
      <alignment horizontal="left" vertical="center" wrapText="1" indent="2"/>
    </xf>
    <xf numFmtId="0" fontId="94" fillId="16" borderId="177">
      <alignment horizontal="right" vertical="center"/>
    </xf>
    <xf numFmtId="0" fontId="117" fillId="59" borderId="179" applyNumberFormat="0" applyAlignment="0" applyProtection="0"/>
    <xf numFmtId="0" fontId="89" fillId="33" borderId="0" applyNumberFormat="0" applyBorder="0" applyAlignment="0" applyProtection="0"/>
    <xf numFmtId="4" fontId="94" fillId="16" borderId="175">
      <alignment horizontal="right" vertical="center"/>
    </xf>
    <xf numFmtId="0" fontId="89" fillId="36" borderId="0" applyNumberFormat="0" applyBorder="0" applyAlignment="0" applyProtection="0"/>
    <xf numFmtId="0" fontId="109" fillId="0" borderId="165" applyNumberFormat="0" applyFill="0" applyAlignment="0" applyProtection="0"/>
    <xf numFmtId="4" fontId="94" fillId="16" borderId="169">
      <alignment horizontal="right" vertical="center"/>
    </xf>
    <xf numFmtId="0" fontId="61" fillId="0" borderId="167">
      <alignment horizontal="right" vertical="center"/>
    </xf>
    <xf numFmtId="0" fontId="99" fillId="75" borderId="166" applyNumberFormat="0" applyFont="0" applyAlignment="0" applyProtection="0"/>
    <xf numFmtId="0" fontId="61" fillId="0" borderId="175">
      <alignment horizontal="right" vertical="center"/>
    </xf>
    <xf numFmtId="0" fontId="7" fillId="40" borderId="0" applyNumberFormat="0" applyBorder="0" applyAlignment="0" applyProtection="0"/>
    <xf numFmtId="0" fontId="30" fillId="0" borderId="141" applyNumberFormat="0" applyFill="0" applyAlignment="0" applyProtection="0"/>
    <xf numFmtId="0" fontId="99" fillId="75" borderId="166" applyNumberFormat="0" applyFont="0" applyAlignment="0" applyProtection="0"/>
    <xf numFmtId="0" fontId="7" fillId="28" borderId="0" applyNumberFormat="0" applyBorder="0" applyAlignment="0" applyProtection="0"/>
    <xf numFmtId="0" fontId="89" fillId="33" borderId="0" applyNumberFormat="0" applyBorder="0" applyAlignment="0" applyProtection="0"/>
    <xf numFmtId="0" fontId="124" fillId="0" borderId="173" applyNumberFormat="0" applyFill="0" applyAlignment="0" applyProtection="0"/>
    <xf numFmtId="0" fontId="61" fillId="0" borderId="167" applyNumberFormat="0" applyFill="0" applyAlignment="0" applyProtection="0"/>
    <xf numFmtId="0" fontId="7" fillId="32" borderId="0" applyNumberFormat="0" applyBorder="0" applyAlignment="0" applyProtection="0"/>
    <xf numFmtId="0" fontId="61" fillId="0" borderId="178">
      <alignment horizontal="left" vertical="center" wrapText="1" indent="2"/>
    </xf>
    <xf numFmtId="0" fontId="94" fillId="16" borderId="175">
      <alignment horizontal="right" vertical="center"/>
    </xf>
    <xf numFmtId="4" fontId="61" fillId="0" borderId="167" applyFill="0" applyBorder="0" applyProtection="0">
      <alignment horizontal="right" vertical="center"/>
    </xf>
    <xf numFmtId="0" fontId="94" fillId="49" borderId="175">
      <alignment horizontal="right" vertical="center"/>
    </xf>
    <xf numFmtId="0" fontId="89" fillId="39" borderId="0" applyNumberFormat="0" applyBorder="0" applyAlignment="0" applyProtection="0"/>
    <xf numFmtId="0" fontId="7" fillId="40" borderId="0" applyNumberFormat="0" applyBorder="0" applyAlignment="0" applyProtection="0"/>
    <xf numFmtId="0" fontId="61" fillId="16" borderId="178">
      <alignment horizontal="left" vertical="center" wrapText="1" indent="2"/>
    </xf>
    <xf numFmtId="0" fontId="96" fillId="49" borderId="167">
      <alignment horizontal="right" vertical="center"/>
    </xf>
    <xf numFmtId="0" fontId="108" fillId="59" borderId="164" applyNumberFormat="0" applyAlignment="0" applyProtection="0"/>
    <xf numFmtId="182" fontId="61" fillId="76" borderId="167" applyNumberFormat="0" applyFont="0" applyBorder="0" applyAlignment="0" applyProtection="0">
      <alignment horizontal="right" vertical="center"/>
    </xf>
    <xf numFmtId="0" fontId="108" fillId="59" borderId="164" applyNumberFormat="0" applyAlignment="0" applyProtection="0"/>
    <xf numFmtId="4" fontId="61" fillId="0" borderId="167">
      <alignment horizontal="right" vertical="center"/>
    </xf>
    <xf numFmtId="49" fontId="61" fillId="0" borderId="167" applyNumberFormat="0" applyFont="0" applyFill="0" applyBorder="0" applyProtection="0">
      <alignment horizontal="left" vertical="center" indent="2"/>
    </xf>
    <xf numFmtId="182" fontId="61" fillId="76" borderId="167" applyNumberFormat="0" applyFont="0" applyBorder="0" applyAlignment="0" applyProtection="0">
      <alignment horizontal="right" vertical="center"/>
    </xf>
    <xf numFmtId="0" fontId="117" fillId="59" borderId="179" applyNumberFormat="0" applyAlignment="0" applyProtection="0"/>
    <xf numFmtId="49" fontId="62" fillId="0" borderId="167" applyNumberFormat="0" applyFill="0" applyBorder="0" applyProtection="0">
      <alignment horizontal="left" vertical="center"/>
    </xf>
    <xf numFmtId="4" fontId="94" fillId="16" borderId="167">
      <alignment horizontal="right" vertical="center"/>
    </xf>
    <xf numFmtId="4" fontId="61" fillId="0" borderId="182">
      <alignment horizontal="right" vertical="center"/>
    </xf>
    <xf numFmtId="0" fontId="108" fillId="59" borderId="164" applyNumberFormat="0" applyAlignment="0" applyProtection="0"/>
    <xf numFmtId="0" fontId="105" fillId="72" borderId="164" applyNumberFormat="0" applyAlignment="0" applyProtection="0"/>
    <xf numFmtId="4" fontId="61" fillId="0" borderId="167">
      <alignment horizontal="right" vertical="center"/>
    </xf>
    <xf numFmtId="0" fontId="61" fillId="16" borderId="170">
      <alignment horizontal="left" vertical="center" wrapText="1" indent="2"/>
    </xf>
    <xf numFmtId="0" fontId="61" fillId="0" borderId="170">
      <alignment horizontal="left" vertical="center" wrapText="1" indent="2"/>
    </xf>
    <xf numFmtId="0" fontId="121" fillId="72" borderId="163" applyNumberFormat="0" applyAlignment="0" applyProtection="0"/>
    <xf numFmtId="0" fontId="117" fillId="59" borderId="164" applyNumberFormat="0" applyAlignment="0" applyProtection="0"/>
    <xf numFmtId="0" fontId="104" fillId="72" borderId="164" applyNumberFormat="0" applyAlignment="0" applyProtection="0"/>
    <xf numFmtId="0" fontId="102" fillId="72" borderId="163" applyNumberFormat="0" applyAlignment="0" applyProtection="0"/>
    <xf numFmtId="0" fontId="94" fillId="16" borderId="169">
      <alignment horizontal="right" vertical="center"/>
    </xf>
    <xf numFmtId="0" fontId="96" fillId="49" borderId="167">
      <alignment horizontal="right" vertical="center"/>
    </xf>
    <xf numFmtId="4" fontId="94" fillId="49" borderId="167">
      <alignment horizontal="right" vertical="center"/>
    </xf>
    <xf numFmtId="4" fontId="94" fillId="16" borderId="167">
      <alignment horizontal="right" vertical="center"/>
    </xf>
    <xf numFmtId="49" fontId="61" fillId="0" borderId="168" applyNumberFormat="0" applyFont="0" applyFill="0" applyBorder="0" applyProtection="0">
      <alignment horizontal="left" vertical="center" indent="5"/>
    </xf>
    <xf numFmtId="4" fontId="61" fillId="0" borderId="167" applyFill="0" applyBorder="0" applyProtection="0">
      <alignment horizontal="right" vertical="center"/>
    </xf>
    <xf numFmtId="4" fontId="94" fillId="49" borderId="167">
      <alignment horizontal="right" vertical="center"/>
    </xf>
    <xf numFmtId="0" fontId="117" fillId="59" borderId="164" applyNumberFormat="0" applyAlignment="0" applyProtection="0"/>
    <xf numFmtId="0" fontId="108" fillId="59" borderId="164" applyNumberFormat="0" applyAlignment="0" applyProtection="0"/>
    <xf numFmtId="0" fontId="104" fillId="72" borderId="164" applyNumberFormat="0" applyAlignment="0" applyProtection="0"/>
    <xf numFmtId="0" fontId="61" fillId="16" borderId="170">
      <alignment horizontal="left" vertical="center" wrapText="1" indent="2"/>
    </xf>
    <xf numFmtId="0" fontId="61" fillId="0" borderId="170">
      <alignment horizontal="left" vertical="center" wrapText="1" indent="2"/>
    </xf>
    <xf numFmtId="0" fontId="61" fillId="16" borderId="170">
      <alignment horizontal="left" vertical="center" wrapText="1" indent="2"/>
    </xf>
    <xf numFmtId="0" fontId="7" fillId="31" borderId="0" applyNumberFormat="0" applyBorder="0" applyAlignment="0" applyProtection="0"/>
    <xf numFmtId="0" fontId="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38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9" fillId="33" borderId="0" applyNumberFormat="0" applyBorder="0" applyAlignment="0" applyProtection="0"/>
    <xf numFmtId="0" fontId="30" fillId="0" borderId="141" applyNumberFormat="0" applyFill="0" applyAlignment="0" applyProtection="0"/>
    <xf numFmtId="0" fontId="94" fillId="16" borderId="182">
      <alignment horizontal="right" vertical="center"/>
    </xf>
    <xf numFmtId="0" fontId="94" fillId="49" borderId="182">
      <alignment horizontal="right" vertical="center"/>
    </xf>
    <xf numFmtId="4" fontId="94" fillId="16" borderId="175">
      <alignment horizontal="right" vertical="center"/>
    </xf>
    <xf numFmtId="0" fontId="61" fillId="50" borderId="175"/>
    <xf numFmtId="0" fontId="104" fillId="72" borderId="172" applyNumberFormat="0" applyAlignment="0" applyProtection="0"/>
    <xf numFmtId="0" fontId="94" fillId="49" borderId="175">
      <alignment horizontal="right" vertical="center"/>
    </xf>
    <xf numFmtId="0" fontId="61" fillId="0" borderId="175">
      <alignment horizontal="right" vertical="center"/>
    </xf>
    <xf numFmtId="0" fontId="124" fillId="0" borderId="173" applyNumberFormat="0" applyFill="0" applyAlignment="0" applyProtection="0"/>
    <xf numFmtId="0" fontId="61" fillId="49" borderId="176">
      <alignment horizontal="left" vertical="center"/>
    </xf>
    <xf numFmtId="0" fontId="117" fillId="59" borderId="172" applyNumberFormat="0" applyAlignment="0" applyProtection="0"/>
    <xf numFmtId="182" fontId="61" fillId="76" borderId="175" applyNumberFormat="0" applyFont="0" applyBorder="0" applyAlignment="0" applyProtection="0">
      <alignment horizontal="right" vertical="center"/>
    </xf>
    <xf numFmtId="0" fontId="99" fillId="75" borderId="174" applyNumberFormat="0" applyFont="0" applyAlignment="0" applyProtection="0"/>
    <xf numFmtId="0" fontId="61" fillId="0" borderId="178">
      <alignment horizontal="left" vertical="center" wrapText="1" indent="2"/>
    </xf>
    <xf numFmtId="4" fontId="61" fillId="50" borderId="175"/>
    <xf numFmtId="49" fontId="62" fillId="0" borderId="175" applyNumberFormat="0" applyFill="0" applyBorder="0" applyProtection="0">
      <alignment horizontal="left" vertical="center"/>
    </xf>
    <xf numFmtId="0" fontId="61" fillId="0" borderId="175">
      <alignment horizontal="right" vertical="center"/>
    </xf>
    <xf numFmtId="4" fontId="94" fillId="16" borderId="177">
      <alignment horizontal="right" vertical="center"/>
    </xf>
    <xf numFmtId="4" fontId="94" fillId="16" borderId="175">
      <alignment horizontal="right" vertical="center"/>
    </xf>
    <xf numFmtId="4" fontId="94" fillId="16" borderId="175">
      <alignment horizontal="right" vertical="center"/>
    </xf>
    <xf numFmtId="0" fontId="96" fillId="49" borderId="175">
      <alignment horizontal="right" vertical="center"/>
    </xf>
    <xf numFmtId="0" fontId="94" fillId="49" borderId="175">
      <alignment horizontal="right" vertical="center"/>
    </xf>
    <xf numFmtId="49" fontId="61" fillId="0" borderId="175" applyNumberFormat="0" applyFont="0" applyFill="0" applyBorder="0" applyProtection="0">
      <alignment horizontal="left" vertical="center" indent="2"/>
    </xf>
    <xf numFmtId="0" fontId="117" fillId="59" borderId="172" applyNumberFormat="0" applyAlignment="0" applyProtection="0"/>
    <xf numFmtId="0" fontId="102" fillId="72" borderId="171" applyNumberFormat="0" applyAlignment="0" applyProtection="0"/>
    <xf numFmtId="49" fontId="61" fillId="0" borderId="175" applyNumberFormat="0" applyFont="0" applyFill="0" applyBorder="0" applyProtection="0">
      <alignment horizontal="left" vertical="center" indent="2"/>
    </xf>
    <xf numFmtId="0" fontId="108" fillId="59" borderId="172" applyNumberFormat="0" applyAlignment="0" applyProtection="0"/>
    <xf numFmtId="4" fontId="61" fillId="0" borderId="175" applyFill="0" applyBorder="0" applyProtection="0">
      <alignment horizontal="right" vertical="center"/>
    </xf>
    <xf numFmtId="0" fontId="105" fillId="72" borderId="172" applyNumberFormat="0" applyAlignment="0" applyProtection="0"/>
    <xf numFmtId="0" fontId="124" fillId="0" borderId="173" applyNumberFormat="0" applyFill="0" applyAlignment="0" applyProtection="0"/>
    <xf numFmtId="0" fontId="121" fillId="72" borderId="171" applyNumberFormat="0" applyAlignment="0" applyProtection="0"/>
    <xf numFmtId="0" fontId="61" fillId="0" borderId="175" applyNumberFormat="0" applyFill="0" applyAlignment="0" applyProtection="0"/>
    <xf numFmtId="4" fontId="61" fillId="0" borderId="175">
      <alignment horizontal="right" vertical="center"/>
    </xf>
    <xf numFmtId="0" fontId="61" fillId="0" borderId="175">
      <alignment horizontal="right" vertical="center"/>
    </xf>
    <xf numFmtId="0" fontId="117" fillId="59" borderId="172" applyNumberFormat="0" applyAlignment="0" applyProtection="0"/>
    <xf numFmtId="0" fontId="102" fillId="72" borderId="171" applyNumberFormat="0" applyAlignment="0" applyProtection="0"/>
    <xf numFmtId="0" fontId="104" fillId="72" borderId="172" applyNumberFormat="0" applyAlignment="0" applyProtection="0"/>
    <xf numFmtId="0" fontId="61" fillId="16" borderId="178">
      <alignment horizontal="left" vertical="center" wrapText="1" indent="2"/>
    </xf>
    <xf numFmtId="0" fontId="105" fillId="72" borderId="172" applyNumberFormat="0" applyAlignment="0" applyProtection="0"/>
    <xf numFmtId="0" fontId="105" fillId="72" borderId="172" applyNumberFormat="0" applyAlignment="0" applyProtection="0"/>
    <xf numFmtId="4" fontId="94" fillId="16" borderId="176">
      <alignment horizontal="right" vertical="center"/>
    </xf>
    <xf numFmtId="0" fontId="94" fillId="16" borderId="176">
      <alignment horizontal="right" vertical="center"/>
    </xf>
    <xf numFmtId="0" fontId="94" fillId="16" borderId="175">
      <alignment horizontal="right" vertical="center"/>
    </xf>
    <xf numFmtId="4" fontId="96" fillId="49" borderId="175">
      <alignment horizontal="right" vertical="center"/>
    </xf>
    <xf numFmtId="0" fontId="108" fillId="59" borderId="172" applyNumberFormat="0" applyAlignment="0" applyProtection="0"/>
    <xf numFmtId="0" fontId="109" fillId="0" borderId="173" applyNumberFormat="0" applyFill="0" applyAlignment="0" applyProtection="0"/>
    <xf numFmtId="0" fontId="124" fillId="0" borderId="173" applyNumberFormat="0" applyFill="0" applyAlignment="0" applyProtection="0"/>
    <xf numFmtId="0" fontId="99" fillId="75" borderId="174" applyNumberFormat="0" applyFont="0" applyAlignment="0" applyProtection="0"/>
    <xf numFmtId="0" fontId="117" fillId="59" borderId="172" applyNumberFormat="0" applyAlignment="0" applyProtection="0"/>
    <xf numFmtId="49" fontId="62" fillId="0" borderId="175" applyNumberFormat="0" applyFill="0" applyBorder="0" applyProtection="0">
      <alignment horizontal="left" vertical="center"/>
    </xf>
    <xf numFmtId="0" fontId="61" fillId="16" borderId="178">
      <alignment horizontal="left" vertical="center" wrapText="1" indent="2"/>
    </xf>
    <xf numFmtId="0" fontId="105" fillId="72" borderId="172" applyNumberFormat="0" applyAlignment="0" applyProtection="0"/>
    <xf numFmtId="0" fontId="61" fillId="0" borderId="178">
      <alignment horizontal="left" vertical="center" wrapText="1" indent="2"/>
    </xf>
    <xf numFmtId="0" fontId="99" fillId="75" borderId="174" applyNumberFormat="0" applyFont="0" applyAlignment="0" applyProtection="0"/>
    <xf numFmtId="0" fontId="39" fillId="75" borderId="174" applyNumberFormat="0" applyFont="0" applyAlignment="0" applyProtection="0"/>
    <xf numFmtId="0" fontId="121" fillId="72" borderId="171" applyNumberFormat="0" applyAlignment="0" applyProtection="0"/>
    <xf numFmtId="0" fontId="124" fillId="0" borderId="173" applyNumberFormat="0" applyFill="0" applyAlignment="0" applyProtection="0"/>
    <xf numFmtId="4" fontId="61" fillId="50" borderId="175"/>
    <xf numFmtId="0" fontId="94" fillId="16" borderId="175">
      <alignment horizontal="right" vertical="center"/>
    </xf>
    <xf numFmtId="0" fontId="124" fillId="0" borderId="173" applyNumberFormat="0" applyFill="0" applyAlignment="0" applyProtection="0"/>
    <xf numFmtId="4" fontId="94" fillId="16" borderId="177">
      <alignment horizontal="right" vertical="center"/>
    </xf>
    <xf numFmtId="0" fontId="104" fillId="72" borderId="172" applyNumberFormat="0" applyAlignment="0" applyProtection="0"/>
    <xf numFmtId="0" fontId="94" fillId="16" borderId="176">
      <alignment horizontal="right" vertical="center"/>
    </xf>
    <xf numFmtId="0" fontId="105" fillId="72" borderId="172" applyNumberFormat="0" applyAlignment="0" applyProtection="0"/>
    <xf numFmtId="0" fontId="109" fillId="0" borderId="173" applyNumberFormat="0" applyFill="0" applyAlignment="0" applyProtection="0"/>
    <xf numFmtId="0" fontId="99" fillId="75" borderId="174" applyNumberFormat="0" applyFont="0" applyAlignment="0" applyProtection="0"/>
    <xf numFmtId="4" fontId="94" fillId="16" borderId="176">
      <alignment horizontal="right" vertical="center"/>
    </xf>
    <xf numFmtId="0" fontId="61" fillId="16" borderId="178">
      <alignment horizontal="left" vertical="center" wrapText="1" indent="2"/>
    </xf>
    <xf numFmtId="0" fontId="61" fillId="50" borderId="175"/>
    <xf numFmtId="182" fontId="61" fillId="76" borderId="175" applyNumberFormat="0" applyFont="0" applyBorder="0" applyAlignment="0" applyProtection="0">
      <alignment horizontal="right" vertical="center"/>
    </xf>
    <xf numFmtId="0" fontId="61" fillId="0" borderId="175" applyNumberFormat="0" applyFill="0" applyAlignment="0" applyProtection="0"/>
    <xf numFmtId="4" fontId="61" fillId="0" borderId="175" applyFill="0" applyBorder="0" applyProtection="0">
      <alignment horizontal="right" vertical="center"/>
    </xf>
    <xf numFmtId="4" fontId="94" fillId="49" borderId="175">
      <alignment horizontal="right" vertical="center"/>
    </xf>
    <xf numFmtId="0" fontId="109" fillId="0" borderId="173" applyNumberFormat="0" applyFill="0" applyAlignment="0" applyProtection="0"/>
    <xf numFmtId="49" fontId="62" fillId="0" borderId="175" applyNumberFormat="0" applyFill="0" applyBorder="0" applyProtection="0">
      <alignment horizontal="left" vertical="center"/>
    </xf>
    <xf numFmtId="49" fontId="61" fillId="0" borderId="176" applyNumberFormat="0" applyFont="0" applyFill="0" applyBorder="0" applyProtection="0">
      <alignment horizontal="left" vertical="center" indent="5"/>
    </xf>
    <xf numFmtId="0" fontId="61" fillId="49" borderId="176">
      <alignment horizontal="left" vertical="center"/>
    </xf>
    <xf numFmtId="0" fontId="105" fillId="72" borderId="172" applyNumberFormat="0" applyAlignment="0" applyProtection="0"/>
    <xf numFmtId="4" fontId="94" fillId="16" borderId="177">
      <alignment horizontal="right" vertical="center"/>
    </xf>
    <xf numFmtId="0" fontId="117" fillId="59" borderId="172" applyNumberFormat="0" applyAlignment="0" applyProtection="0"/>
    <xf numFmtId="0" fontId="117" fillId="59" borderId="172" applyNumberFormat="0" applyAlignment="0" applyProtection="0"/>
    <xf numFmtId="0" fontId="99" fillId="75" borderId="174" applyNumberFormat="0" applyFont="0" applyAlignment="0" applyProtection="0"/>
    <xf numFmtId="0" fontId="121" fillId="72" borderId="171" applyNumberFormat="0" applyAlignment="0" applyProtection="0"/>
    <xf numFmtId="0" fontId="124" fillId="0" borderId="173" applyNumberFormat="0" applyFill="0" applyAlignment="0" applyProtection="0"/>
    <xf numFmtId="0" fontId="94" fillId="16" borderId="175">
      <alignment horizontal="right" vertical="center"/>
    </xf>
    <xf numFmtId="0" fontId="39" fillId="75" borderId="174" applyNumberFormat="0" applyFont="0" applyAlignment="0" applyProtection="0"/>
    <xf numFmtId="4" fontId="61" fillId="0" borderId="175">
      <alignment horizontal="right" vertical="center"/>
    </xf>
    <xf numFmtId="0" fontId="124" fillId="0" borderId="173" applyNumberFormat="0" applyFill="0" applyAlignment="0" applyProtection="0"/>
    <xf numFmtId="0" fontId="94" fillId="16" borderId="175">
      <alignment horizontal="right" vertical="center"/>
    </xf>
    <xf numFmtId="0" fontId="94" fillId="16" borderId="175">
      <alignment horizontal="right" vertical="center"/>
    </xf>
    <xf numFmtId="4" fontId="96" fillId="49" borderId="175">
      <alignment horizontal="right" vertical="center"/>
    </xf>
    <xf numFmtId="0" fontId="94" fillId="49" borderId="175">
      <alignment horizontal="right" vertical="center"/>
    </xf>
    <xf numFmtId="4" fontId="94" fillId="49" borderId="175">
      <alignment horizontal="right" vertical="center"/>
    </xf>
    <xf numFmtId="0" fontId="96" fillId="49" borderId="175">
      <alignment horizontal="right" vertical="center"/>
    </xf>
    <xf numFmtId="4" fontId="96" fillId="49" borderId="175">
      <alignment horizontal="right" vertical="center"/>
    </xf>
    <xf numFmtId="0" fontId="94" fillId="16" borderId="175">
      <alignment horizontal="right" vertical="center"/>
    </xf>
    <xf numFmtId="4" fontId="94" fillId="16" borderId="175">
      <alignment horizontal="right" vertical="center"/>
    </xf>
    <xf numFmtId="0" fontId="94" fillId="16" borderId="175">
      <alignment horizontal="right" vertical="center"/>
    </xf>
    <xf numFmtId="4" fontId="94" fillId="16" borderId="175">
      <alignment horizontal="right" vertical="center"/>
    </xf>
    <xf numFmtId="0" fontId="94" fillId="16" borderId="176">
      <alignment horizontal="right" vertical="center"/>
    </xf>
    <xf numFmtId="4" fontId="94" fillId="16" borderId="176">
      <alignment horizontal="right" vertical="center"/>
    </xf>
    <xf numFmtId="0" fontId="94" fillId="16" borderId="177">
      <alignment horizontal="right" vertical="center"/>
    </xf>
    <xf numFmtId="4" fontId="94" fillId="16" borderId="177">
      <alignment horizontal="right" vertical="center"/>
    </xf>
    <xf numFmtId="0" fontId="105" fillId="72" borderId="172" applyNumberFormat="0" applyAlignment="0" applyProtection="0"/>
    <xf numFmtId="0" fontId="61" fillId="16" borderId="178">
      <alignment horizontal="left" vertical="center" wrapText="1" indent="2"/>
    </xf>
    <xf numFmtId="0" fontId="61" fillId="0" borderId="178">
      <alignment horizontal="left" vertical="center" wrapText="1" indent="2"/>
    </xf>
    <xf numFmtId="0" fontId="61" fillId="49" borderId="176">
      <alignment horizontal="left" vertical="center"/>
    </xf>
    <xf numFmtId="0" fontId="117" fillId="59" borderId="172" applyNumberFormat="0" applyAlignment="0" applyProtection="0"/>
    <xf numFmtId="0" fontId="61" fillId="0" borderId="175">
      <alignment horizontal="right" vertical="center"/>
    </xf>
    <xf numFmtId="4" fontId="61" fillId="0" borderId="175">
      <alignment horizontal="right" vertical="center"/>
    </xf>
    <xf numFmtId="0" fontId="61" fillId="0" borderId="175" applyNumberFormat="0" applyFill="0" applyAlignment="0" applyProtection="0"/>
    <xf numFmtId="0" fontId="121" fillId="72" borderId="171" applyNumberFormat="0" applyAlignment="0" applyProtection="0"/>
    <xf numFmtId="182" fontId="61" fillId="76" borderId="175" applyNumberFormat="0" applyFont="0" applyBorder="0" applyAlignment="0" applyProtection="0">
      <alignment horizontal="right" vertical="center"/>
    </xf>
    <xf numFmtId="0" fontId="61" fillId="50" borderId="175"/>
    <xf numFmtId="4" fontId="61" fillId="50" borderId="175"/>
    <xf numFmtId="0" fontId="124" fillId="0" borderId="173" applyNumberFormat="0" applyFill="0" applyAlignment="0" applyProtection="0"/>
    <xf numFmtId="0" fontId="39" fillId="75" borderId="174" applyNumberFormat="0" applyFont="0" applyAlignment="0" applyProtection="0"/>
    <xf numFmtId="0" fontId="99" fillId="75" borderId="174" applyNumberFormat="0" applyFont="0" applyAlignment="0" applyProtection="0"/>
    <xf numFmtId="0" fontId="61" fillId="0" borderId="175" applyNumberFormat="0" applyFill="0" applyAlignment="0" applyProtection="0"/>
    <xf numFmtId="0" fontId="109" fillId="0" borderId="173" applyNumberFormat="0" applyFill="0" applyAlignment="0" applyProtection="0"/>
    <xf numFmtId="0" fontId="124" fillId="0" borderId="173" applyNumberFormat="0" applyFill="0" applyAlignment="0" applyProtection="0"/>
    <xf numFmtId="0" fontId="108" fillId="59" borderId="172" applyNumberFormat="0" applyAlignment="0" applyProtection="0"/>
    <xf numFmtId="0" fontId="105" fillId="72" borderId="172" applyNumberFormat="0" applyAlignment="0" applyProtection="0"/>
    <xf numFmtId="4" fontId="96" fillId="49" borderId="175">
      <alignment horizontal="right" vertical="center"/>
    </xf>
    <xf numFmtId="0" fontId="94" fillId="49" borderId="175">
      <alignment horizontal="right" vertical="center"/>
    </xf>
    <xf numFmtId="182" fontId="61" fillId="76" borderId="175" applyNumberFormat="0" applyFont="0" applyBorder="0" applyAlignment="0" applyProtection="0">
      <alignment horizontal="right" vertical="center"/>
    </xf>
    <xf numFmtId="0" fontId="109" fillId="0" borderId="173" applyNumberFormat="0" applyFill="0" applyAlignment="0" applyProtection="0"/>
    <xf numFmtId="49" fontId="61" fillId="0" borderId="175" applyNumberFormat="0" applyFont="0" applyFill="0" applyBorder="0" applyProtection="0">
      <alignment horizontal="left" vertical="center" indent="2"/>
    </xf>
    <xf numFmtId="49" fontId="61" fillId="0" borderId="176" applyNumberFormat="0" applyFont="0" applyFill="0" applyBorder="0" applyProtection="0">
      <alignment horizontal="left" vertical="center" indent="5"/>
    </xf>
    <xf numFmtId="49" fontId="61" fillId="0" borderId="175" applyNumberFormat="0" applyFont="0" applyFill="0" applyBorder="0" applyProtection="0">
      <alignment horizontal="left" vertical="center" indent="2"/>
    </xf>
    <xf numFmtId="4" fontId="61" fillId="0" borderId="175" applyFill="0" applyBorder="0" applyProtection="0">
      <alignment horizontal="right" vertical="center"/>
    </xf>
    <xf numFmtId="49" fontId="62" fillId="0" borderId="175" applyNumberFormat="0" applyFill="0" applyBorder="0" applyProtection="0">
      <alignment horizontal="left" vertical="center"/>
    </xf>
    <xf numFmtId="0" fontId="61" fillId="0" borderId="178">
      <alignment horizontal="left" vertical="center" wrapText="1" indent="2"/>
    </xf>
    <xf numFmtId="0" fontId="121" fillId="72" borderId="171" applyNumberFormat="0" applyAlignment="0" applyProtection="0"/>
    <xf numFmtId="0" fontId="94" fillId="16" borderId="177">
      <alignment horizontal="right" vertical="center"/>
    </xf>
    <xf numFmtId="0" fontId="108" fillId="59" borderId="172" applyNumberFormat="0" applyAlignment="0" applyProtection="0"/>
    <xf numFmtId="0" fontId="94" fillId="16" borderId="177">
      <alignment horizontal="right" vertical="center"/>
    </xf>
    <xf numFmtId="4" fontId="94" fillId="16" borderId="175">
      <alignment horizontal="right" vertical="center"/>
    </xf>
    <xf numFmtId="0" fontId="94" fillId="16" borderId="175">
      <alignment horizontal="right" vertical="center"/>
    </xf>
    <xf numFmtId="0" fontId="102" fillId="72" borderId="171" applyNumberFormat="0" applyAlignment="0" applyProtection="0"/>
    <xf numFmtId="0" fontId="104" fillId="72" borderId="172" applyNumberFormat="0" applyAlignment="0" applyProtection="0"/>
    <xf numFmtId="0" fontId="109" fillId="0" borderId="173" applyNumberFormat="0" applyFill="0" applyAlignment="0" applyProtection="0"/>
    <xf numFmtId="0" fontId="61" fillId="50" borderId="175"/>
    <xf numFmtId="4" fontId="61" fillId="50" borderId="175"/>
    <xf numFmtId="4" fontId="94" fillId="16" borderId="175">
      <alignment horizontal="right" vertical="center"/>
    </xf>
    <xf numFmtId="0" fontId="96" fillId="49" borderId="175">
      <alignment horizontal="right" vertical="center"/>
    </xf>
    <xf numFmtId="0" fontId="108" fillId="59" borderId="172" applyNumberFormat="0" applyAlignment="0" applyProtection="0"/>
    <xf numFmtId="0" fontId="105" fillId="72" borderId="172" applyNumberFormat="0" applyAlignment="0" applyProtection="0"/>
    <xf numFmtId="4" fontId="61" fillId="0" borderId="175">
      <alignment horizontal="right" vertical="center"/>
    </xf>
    <xf numFmtId="0" fontId="61" fillId="16" borderId="178">
      <alignment horizontal="left" vertical="center" wrapText="1" indent="2"/>
    </xf>
    <xf numFmtId="0" fontId="61" fillId="0" borderId="178">
      <alignment horizontal="left" vertical="center" wrapText="1" indent="2"/>
    </xf>
    <xf numFmtId="0" fontId="121" fillId="72" borderId="171" applyNumberFormat="0" applyAlignment="0" applyProtection="0"/>
    <xf numFmtId="0" fontId="117" fillId="59" borderId="172" applyNumberFormat="0" applyAlignment="0" applyProtection="0"/>
    <xf numFmtId="0" fontId="104" fillId="72" borderId="172" applyNumberFormat="0" applyAlignment="0" applyProtection="0"/>
    <xf numFmtId="0" fontId="102" fillId="72" borderId="171" applyNumberFormat="0" applyAlignment="0" applyProtection="0"/>
    <xf numFmtId="0" fontId="94" fillId="16" borderId="177">
      <alignment horizontal="right" vertical="center"/>
    </xf>
    <xf numFmtId="0" fontId="96" fillId="49" borderId="175">
      <alignment horizontal="right" vertical="center"/>
    </xf>
    <xf numFmtId="4" fontId="94" fillId="49" borderId="175">
      <alignment horizontal="right" vertical="center"/>
    </xf>
    <xf numFmtId="4" fontId="94" fillId="16" borderId="175">
      <alignment horizontal="right" vertical="center"/>
    </xf>
    <xf numFmtId="49" fontId="61" fillId="0" borderId="176" applyNumberFormat="0" applyFont="0" applyFill="0" applyBorder="0" applyProtection="0">
      <alignment horizontal="left" vertical="center" indent="5"/>
    </xf>
    <xf numFmtId="4" fontId="61" fillId="0" borderId="175" applyFill="0" applyBorder="0" applyProtection="0">
      <alignment horizontal="right" vertical="center"/>
    </xf>
    <xf numFmtId="4" fontId="94" fillId="49" borderId="175">
      <alignment horizontal="right" vertical="center"/>
    </xf>
    <xf numFmtId="0" fontId="117" fillId="59" borderId="172" applyNumberFormat="0" applyAlignment="0" applyProtection="0"/>
    <xf numFmtId="0" fontId="108" fillId="59" borderId="172" applyNumberFormat="0" applyAlignment="0" applyProtection="0"/>
    <xf numFmtId="0" fontId="104" fillId="72" borderId="172" applyNumberFormat="0" applyAlignment="0" applyProtection="0"/>
    <xf numFmtId="0" fontId="61" fillId="16" borderId="178">
      <alignment horizontal="left" vertical="center" wrapText="1" indent="2"/>
    </xf>
    <xf numFmtId="0" fontId="61" fillId="0" borderId="178">
      <alignment horizontal="left" vertical="center" wrapText="1" indent="2"/>
    </xf>
    <xf numFmtId="0" fontId="61" fillId="16" borderId="178">
      <alignment horizontal="left" vertical="center" wrapText="1" indent="2"/>
    </xf>
    <xf numFmtId="0" fontId="61" fillId="0" borderId="178">
      <alignment horizontal="left" vertical="center" wrapText="1" indent="2"/>
    </xf>
    <xf numFmtId="0" fontId="102" fillId="72" borderId="171" applyNumberFormat="0" applyAlignment="0" applyProtection="0"/>
    <xf numFmtId="0" fontId="104" fillId="72" borderId="172" applyNumberFormat="0" applyAlignment="0" applyProtection="0"/>
    <xf numFmtId="0" fontId="105" fillId="72" borderId="172" applyNumberFormat="0" applyAlignment="0" applyProtection="0"/>
    <xf numFmtId="0" fontId="108" fillId="59" borderId="172" applyNumberFormat="0" applyAlignment="0" applyProtection="0"/>
    <xf numFmtId="0" fontId="109" fillId="0" borderId="173" applyNumberFormat="0" applyFill="0" applyAlignment="0" applyProtection="0"/>
    <xf numFmtId="0" fontId="117" fillId="59" borderId="172" applyNumberFormat="0" applyAlignment="0" applyProtection="0"/>
    <xf numFmtId="0" fontId="99" fillId="75" borderId="174" applyNumberFormat="0" applyFont="0" applyAlignment="0" applyProtection="0"/>
    <xf numFmtId="0" fontId="39" fillId="75" borderId="174" applyNumberFormat="0" applyFont="0" applyAlignment="0" applyProtection="0"/>
    <xf numFmtId="0" fontId="121" fillId="72" borderId="171" applyNumberFormat="0" applyAlignment="0" applyProtection="0"/>
    <xf numFmtId="0" fontId="124" fillId="0" borderId="173" applyNumberFormat="0" applyFill="0" applyAlignment="0" applyProtection="0"/>
    <xf numFmtId="0" fontId="105" fillId="72" borderId="172" applyNumberFormat="0" applyAlignment="0" applyProtection="0"/>
    <xf numFmtId="0" fontId="117" fillId="59" borderId="172" applyNumberFormat="0" applyAlignment="0" applyProtection="0"/>
    <xf numFmtId="0" fontId="99" fillId="75" borderId="174" applyNumberFormat="0" applyFont="0" applyAlignment="0" applyProtection="0"/>
    <xf numFmtId="0" fontId="121" fillId="72" borderId="171" applyNumberFormat="0" applyAlignment="0" applyProtection="0"/>
    <xf numFmtId="0" fontId="124" fillId="0" borderId="173" applyNumberFormat="0" applyFill="0" applyAlignment="0" applyProtection="0"/>
    <xf numFmtId="0" fontId="105" fillId="72" borderId="172" applyNumberFormat="0" applyAlignment="0" applyProtection="0"/>
    <xf numFmtId="4" fontId="96" fillId="49" borderId="182">
      <alignment horizontal="right" vertical="center"/>
    </xf>
    <xf numFmtId="0" fontId="117" fillId="59" borderId="172" applyNumberFormat="0" applyAlignment="0" applyProtection="0"/>
    <xf numFmtId="0" fontId="121" fillId="72" borderId="171" applyNumberFormat="0" applyAlignment="0" applyProtection="0"/>
    <xf numFmtId="0" fontId="124" fillId="0" borderId="173" applyNumberFormat="0" applyFill="0" applyAlignment="0" applyProtection="0"/>
    <xf numFmtId="0" fontId="102" fillId="72" borderId="171" applyNumberFormat="0" applyAlignment="0" applyProtection="0"/>
    <xf numFmtId="0" fontId="104" fillId="72" borderId="172" applyNumberFormat="0" applyAlignment="0" applyProtection="0"/>
    <xf numFmtId="0" fontId="109" fillId="0" borderId="173" applyNumberFormat="0" applyFill="0" applyAlignment="0" applyProtection="0"/>
    <xf numFmtId="49" fontId="61" fillId="0" borderId="175" applyNumberFormat="0" applyFont="0" applyFill="0" applyBorder="0" applyProtection="0">
      <alignment horizontal="left" vertical="center" indent="2"/>
    </xf>
    <xf numFmtId="0" fontId="94" fillId="49" borderId="175">
      <alignment horizontal="right" vertical="center"/>
    </xf>
    <xf numFmtId="4" fontId="94" fillId="49" borderId="175">
      <alignment horizontal="right" vertical="center"/>
    </xf>
    <xf numFmtId="0" fontId="96" fillId="49" borderId="175">
      <alignment horizontal="right" vertical="center"/>
    </xf>
    <xf numFmtId="4" fontId="96" fillId="49" borderId="175">
      <alignment horizontal="right" vertical="center"/>
    </xf>
    <xf numFmtId="0" fontId="94" fillId="16" borderId="175">
      <alignment horizontal="right" vertical="center"/>
    </xf>
    <xf numFmtId="4" fontId="94" fillId="16" borderId="175">
      <alignment horizontal="right" vertical="center"/>
    </xf>
    <xf numFmtId="0" fontId="94" fillId="16" borderId="175">
      <alignment horizontal="right" vertical="center"/>
    </xf>
    <xf numFmtId="4" fontId="94" fillId="16" borderId="175">
      <alignment horizontal="right" vertical="center"/>
    </xf>
    <xf numFmtId="0" fontId="108" fillId="59" borderId="172" applyNumberFormat="0" applyAlignment="0" applyProtection="0"/>
    <xf numFmtId="0" fontId="61" fillId="0" borderId="175">
      <alignment horizontal="right" vertical="center"/>
    </xf>
    <xf numFmtId="4" fontId="61" fillId="0" borderId="175">
      <alignment horizontal="right" vertical="center"/>
    </xf>
    <xf numFmtId="4" fontId="61" fillId="0" borderId="175" applyFill="0" applyBorder="0" applyProtection="0">
      <alignment horizontal="right" vertical="center"/>
    </xf>
    <xf numFmtId="49" fontId="62" fillId="0" borderId="175" applyNumberFormat="0" applyFill="0" applyBorder="0" applyProtection="0">
      <alignment horizontal="left" vertical="center"/>
    </xf>
    <xf numFmtId="0" fontId="61" fillId="0" borderId="175" applyNumberFormat="0" applyFill="0" applyAlignment="0" applyProtection="0"/>
    <xf numFmtId="182" fontId="61" fillId="76" borderId="175" applyNumberFormat="0" applyFont="0" applyBorder="0" applyAlignment="0" applyProtection="0">
      <alignment horizontal="right" vertical="center"/>
    </xf>
    <xf numFmtId="0" fontId="61" fillId="50" borderId="175"/>
    <xf numFmtId="4" fontId="61" fillId="50" borderId="175"/>
    <xf numFmtId="4" fontId="94" fillId="16" borderId="175">
      <alignment horizontal="right" vertical="center"/>
    </xf>
    <xf numFmtId="0" fontId="61" fillId="50" borderId="175"/>
    <xf numFmtId="0" fontId="104" fillId="72" borderId="172" applyNumberFormat="0" applyAlignment="0" applyProtection="0"/>
    <xf numFmtId="0" fontId="94" fillId="49" borderId="175">
      <alignment horizontal="right" vertical="center"/>
    </xf>
    <xf numFmtId="0" fontId="61" fillId="0" borderId="175">
      <alignment horizontal="right" vertical="center"/>
    </xf>
    <xf numFmtId="0" fontId="124" fillId="0" borderId="173" applyNumberFormat="0" applyFill="0" applyAlignment="0" applyProtection="0"/>
    <xf numFmtId="0" fontId="61" fillId="49" borderId="176">
      <alignment horizontal="left" vertical="center"/>
    </xf>
    <xf numFmtId="0" fontId="117" fillId="59" borderId="172" applyNumberFormat="0" applyAlignment="0" applyProtection="0"/>
    <xf numFmtId="182" fontId="61" fillId="76" borderId="175" applyNumberFormat="0" applyFont="0" applyBorder="0" applyAlignment="0" applyProtection="0">
      <alignment horizontal="right" vertical="center"/>
    </xf>
    <xf numFmtId="0" fontId="99" fillId="75" borderId="174" applyNumberFormat="0" applyFont="0" applyAlignment="0" applyProtection="0"/>
    <xf numFmtId="0" fontId="61" fillId="0" borderId="178">
      <alignment horizontal="left" vertical="center" wrapText="1" indent="2"/>
    </xf>
    <xf numFmtId="4" fontId="61" fillId="50" borderId="175"/>
    <xf numFmtId="49" fontId="62" fillId="0" borderId="175" applyNumberFormat="0" applyFill="0" applyBorder="0" applyProtection="0">
      <alignment horizontal="left" vertical="center"/>
    </xf>
    <xf numFmtId="0" fontId="61" fillId="0" borderId="175">
      <alignment horizontal="right" vertical="center"/>
    </xf>
    <xf numFmtId="4" fontId="94" fillId="16" borderId="177">
      <alignment horizontal="right" vertical="center"/>
    </xf>
    <xf numFmtId="4" fontId="94" fillId="16" borderId="175">
      <alignment horizontal="right" vertical="center"/>
    </xf>
    <xf numFmtId="4" fontId="94" fillId="16" borderId="175">
      <alignment horizontal="right" vertical="center"/>
    </xf>
    <xf numFmtId="0" fontId="96" fillId="49" borderId="175">
      <alignment horizontal="right" vertical="center"/>
    </xf>
    <xf numFmtId="0" fontId="94" fillId="49" borderId="175">
      <alignment horizontal="right" vertical="center"/>
    </xf>
    <xf numFmtId="49" fontId="61" fillId="0" borderId="175" applyNumberFormat="0" applyFont="0" applyFill="0" applyBorder="0" applyProtection="0">
      <alignment horizontal="left" vertical="center" indent="2"/>
    </xf>
    <xf numFmtId="0" fontId="117" fillId="59" borderId="172" applyNumberFormat="0" applyAlignment="0" applyProtection="0"/>
    <xf numFmtId="0" fontId="102" fillId="72" borderId="171" applyNumberFormat="0" applyAlignment="0" applyProtection="0"/>
    <xf numFmtId="49" fontId="61" fillId="0" borderId="175" applyNumberFormat="0" applyFont="0" applyFill="0" applyBorder="0" applyProtection="0">
      <alignment horizontal="left" vertical="center" indent="2"/>
    </xf>
    <xf numFmtId="0" fontId="108" fillId="59" borderId="172" applyNumberFormat="0" applyAlignment="0" applyProtection="0"/>
    <xf numFmtId="4" fontId="61" fillId="0" borderId="175" applyFill="0" applyBorder="0" applyProtection="0">
      <alignment horizontal="right" vertical="center"/>
    </xf>
    <xf numFmtId="0" fontId="105" fillId="72" borderId="172" applyNumberFormat="0" applyAlignment="0" applyProtection="0"/>
    <xf numFmtId="0" fontId="124" fillId="0" borderId="173" applyNumberFormat="0" applyFill="0" applyAlignment="0" applyProtection="0"/>
    <xf numFmtId="0" fontId="121" fillId="72" borderId="171" applyNumberFormat="0" applyAlignment="0" applyProtection="0"/>
    <xf numFmtId="0" fontId="61" fillId="0" borderId="175" applyNumberFormat="0" applyFill="0" applyAlignment="0" applyProtection="0"/>
    <xf numFmtId="4" fontId="61" fillId="0" borderId="175">
      <alignment horizontal="right" vertical="center"/>
    </xf>
    <xf numFmtId="0" fontId="61" fillId="0" borderId="175">
      <alignment horizontal="right" vertical="center"/>
    </xf>
    <xf numFmtId="0" fontId="117" fillId="59" borderId="172" applyNumberFormat="0" applyAlignment="0" applyProtection="0"/>
    <xf numFmtId="0" fontId="102" fillId="72" borderId="171" applyNumberFormat="0" applyAlignment="0" applyProtection="0"/>
    <xf numFmtId="0" fontId="104" fillId="72" borderId="172" applyNumberFormat="0" applyAlignment="0" applyProtection="0"/>
    <xf numFmtId="0" fontId="61" fillId="16" borderId="178">
      <alignment horizontal="left" vertical="center" wrapText="1" indent="2"/>
    </xf>
    <xf numFmtId="0" fontId="105" fillId="72" borderId="172" applyNumberFormat="0" applyAlignment="0" applyProtection="0"/>
    <xf numFmtId="0" fontId="105" fillId="72" borderId="172" applyNumberFormat="0" applyAlignment="0" applyProtection="0"/>
    <xf numFmtId="4" fontId="94" fillId="16" borderId="176">
      <alignment horizontal="right" vertical="center"/>
    </xf>
    <xf numFmtId="0" fontId="94" fillId="16" borderId="176">
      <alignment horizontal="right" vertical="center"/>
    </xf>
    <xf numFmtId="0" fontId="94" fillId="16" borderId="175">
      <alignment horizontal="right" vertical="center"/>
    </xf>
    <xf numFmtId="4" fontId="96" fillId="49" borderId="175">
      <alignment horizontal="right" vertical="center"/>
    </xf>
    <xf numFmtId="0" fontId="108" fillId="59" borderId="172" applyNumberFormat="0" applyAlignment="0" applyProtection="0"/>
    <xf numFmtId="0" fontId="109" fillId="0" borderId="173" applyNumberFormat="0" applyFill="0" applyAlignment="0" applyProtection="0"/>
    <xf numFmtId="0" fontId="124" fillId="0" borderId="173" applyNumberFormat="0" applyFill="0" applyAlignment="0" applyProtection="0"/>
    <xf numFmtId="0" fontId="99" fillId="75" borderId="174" applyNumberFormat="0" applyFont="0" applyAlignment="0" applyProtection="0"/>
    <xf numFmtId="0" fontId="117" fillId="59" borderId="172" applyNumberFormat="0" applyAlignment="0" applyProtection="0"/>
    <xf numFmtId="49" fontId="62" fillId="0" borderId="175" applyNumberFormat="0" applyFill="0" applyBorder="0" applyProtection="0">
      <alignment horizontal="left" vertical="center"/>
    </xf>
    <xf numFmtId="0" fontId="61" fillId="16" borderId="178">
      <alignment horizontal="left" vertical="center" wrapText="1" indent="2"/>
    </xf>
    <xf numFmtId="0" fontId="105" fillId="72" borderId="172" applyNumberFormat="0" applyAlignment="0" applyProtection="0"/>
    <xf numFmtId="0" fontId="61" fillId="0" borderId="178">
      <alignment horizontal="left" vertical="center" wrapText="1" indent="2"/>
    </xf>
    <xf numFmtId="0" fontId="99" fillId="75" borderId="174" applyNumberFormat="0" applyFont="0" applyAlignment="0" applyProtection="0"/>
    <xf numFmtId="0" fontId="39" fillId="75" borderId="174" applyNumberFormat="0" applyFont="0" applyAlignment="0" applyProtection="0"/>
    <xf numFmtId="0" fontId="121" fillId="72" borderId="171" applyNumberFormat="0" applyAlignment="0" applyProtection="0"/>
    <xf numFmtId="0" fontId="124" fillId="0" borderId="173" applyNumberFormat="0" applyFill="0" applyAlignment="0" applyProtection="0"/>
    <xf numFmtId="4" fontId="61" fillId="50" borderId="175"/>
    <xf numFmtId="0" fontId="94" fillId="16" borderId="175">
      <alignment horizontal="right" vertical="center"/>
    </xf>
    <xf numFmtId="0" fontId="124" fillId="0" borderId="173" applyNumberFormat="0" applyFill="0" applyAlignment="0" applyProtection="0"/>
    <xf numFmtId="4" fontId="94" fillId="16" borderId="177">
      <alignment horizontal="right" vertical="center"/>
    </xf>
    <xf numFmtId="0" fontId="104" fillId="72" borderId="172" applyNumberFormat="0" applyAlignment="0" applyProtection="0"/>
    <xf numFmtId="0" fontId="94" fillId="16" borderId="176">
      <alignment horizontal="right" vertical="center"/>
    </xf>
    <xf numFmtId="0" fontId="105" fillId="72" borderId="172" applyNumberFormat="0" applyAlignment="0" applyProtection="0"/>
    <xf numFmtId="0" fontId="109" fillId="0" borderId="173" applyNumberFormat="0" applyFill="0" applyAlignment="0" applyProtection="0"/>
    <xf numFmtId="0" fontId="99" fillId="75" borderId="174" applyNumberFormat="0" applyFont="0" applyAlignment="0" applyProtection="0"/>
    <xf numFmtId="4" fontId="94" fillId="16" borderId="176">
      <alignment horizontal="right" vertical="center"/>
    </xf>
    <xf numFmtId="0" fontId="61" fillId="16" borderId="178">
      <alignment horizontal="left" vertical="center" wrapText="1" indent="2"/>
    </xf>
    <xf numFmtId="0" fontId="61" fillId="50" borderId="175"/>
    <xf numFmtId="182" fontId="61" fillId="76" borderId="175" applyNumberFormat="0" applyFont="0" applyBorder="0" applyAlignment="0" applyProtection="0">
      <alignment horizontal="right" vertical="center"/>
    </xf>
    <xf numFmtId="0" fontId="61" fillId="0" borderId="175" applyNumberFormat="0" applyFill="0" applyAlignment="0" applyProtection="0"/>
    <xf numFmtId="4" fontId="61" fillId="0" borderId="175" applyFill="0" applyBorder="0" applyProtection="0">
      <alignment horizontal="right" vertical="center"/>
    </xf>
    <xf numFmtId="4" fontId="94" fillId="49" borderId="175">
      <alignment horizontal="right" vertical="center"/>
    </xf>
    <xf numFmtId="0" fontId="109" fillId="0" borderId="173" applyNumberFormat="0" applyFill="0" applyAlignment="0" applyProtection="0"/>
    <xf numFmtId="49" fontId="62" fillId="0" borderId="175" applyNumberFormat="0" applyFill="0" applyBorder="0" applyProtection="0">
      <alignment horizontal="left" vertical="center"/>
    </xf>
    <xf numFmtId="49" fontId="61" fillId="0" borderId="176" applyNumberFormat="0" applyFont="0" applyFill="0" applyBorder="0" applyProtection="0">
      <alignment horizontal="left" vertical="center" indent="5"/>
    </xf>
    <xf numFmtId="0" fontId="61" fillId="49" borderId="176">
      <alignment horizontal="left" vertical="center"/>
    </xf>
    <xf numFmtId="0" fontId="105" fillId="72" borderId="172" applyNumberFormat="0" applyAlignment="0" applyProtection="0"/>
    <xf numFmtId="4" fontId="94" fillId="16" borderId="177">
      <alignment horizontal="right" vertical="center"/>
    </xf>
    <xf numFmtId="0" fontId="117" fillId="59" borderId="172" applyNumberFormat="0" applyAlignment="0" applyProtection="0"/>
    <xf numFmtId="0" fontId="117" fillId="59" borderId="172" applyNumberFormat="0" applyAlignment="0" applyProtection="0"/>
    <xf numFmtId="0" fontId="99" fillId="75" borderId="174" applyNumberFormat="0" applyFont="0" applyAlignment="0" applyProtection="0"/>
    <xf numFmtId="0" fontId="121" fillId="72" borderId="171" applyNumberFormat="0" applyAlignment="0" applyProtection="0"/>
    <xf numFmtId="0" fontId="124" fillId="0" borderId="173" applyNumberFormat="0" applyFill="0" applyAlignment="0" applyProtection="0"/>
    <xf numFmtId="0" fontId="94" fillId="16" borderId="175">
      <alignment horizontal="right" vertical="center"/>
    </xf>
    <xf numFmtId="0" fontId="39" fillId="75" borderId="174" applyNumberFormat="0" applyFont="0" applyAlignment="0" applyProtection="0"/>
    <xf numFmtId="4" fontId="61" fillId="0" borderId="175">
      <alignment horizontal="right" vertical="center"/>
    </xf>
    <xf numFmtId="0" fontId="124" fillId="0" borderId="173" applyNumberFormat="0" applyFill="0" applyAlignment="0" applyProtection="0"/>
    <xf numFmtId="0" fontId="94" fillId="16" borderId="175">
      <alignment horizontal="right" vertical="center"/>
    </xf>
    <xf numFmtId="0" fontId="94" fillId="16" borderId="175">
      <alignment horizontal="right" vertical="center"/>
    </xf>
    <xf numFmtId="4" fontId="96" fillId="49" borderId="175">
      <alignment horizontal="right" vertical="center"/>
    </xf>
    <xf numFmtId="0" fontId="94" fillId="49" borderId="175">
      <alignment horizontal="right" vertical="center"/>
    </xf>
    <xf numFmtId="4" fontId="94" fillId="49" borderId="175">
      <alignment horizontal="right" vertical="center"/>
    </xf>
    <xf numFmtId="0" fontId="96" fillId="49" borderId="175">
      <alignment horizontal="right" vertical="center"/>
    </xf>
    <xf numFmtId="4" fontId="96" fillId="49" borderId="175">
      <alignment horizontal="right" vertical="center"/>
    </xf>
    <xf numFmtId="0" fontId="94" fillId="16" borderId="175">
      <alignment horizontal="right" vertical="center"/>
    </xf>
    <xf numFmtId="4" fontId="94" fillId="16" borderId="175">
      <alignment horizontal="right" vertical="center"/>
    </xf>
    <xf numFmtId="0" fontId="94" fillId="16" borderId="175">
      <alignment horizontal="right" vertical="center"/>
    </xf>
    <xf numFmtId="4" fontId="94" fillId="16" borderId="175">
      <alignment horizontal="right" vertical="center"/>
    </xf>
    <xf numFmtId="0" fontId="94" fillId="16" borderId="176">
      <alignment horizontal="right" vertical="center"/>
    </xf>
    <xf numFmtId="4" fontId="94" fillId="16" borderId="176">
      <alignment horizontal="right" vertical="center"/>
    </xf>
    <xf numFmtId="0" fontId="94" fillId="16" borderId="177">
      <alignment horizontal="right" vertical="center"/>
    </xf>
    <xf numFmtId="4" fontId="94" fillId="16" borderId="177">
      <alignment horizontal="right" vertical="center"/>
    </xf>
    <xf numFmtId="0" fontId="105" fillId="72" borderId="172" applyNumberFormat="0" applyAlignment="0" applyProtection="0"/>
    <xf numFmtId="0" fontId="61" fillId="16" borderId="178">
      <alignment horizontal="left" vertical="center" wrapText="1" indent="2"/>
    </xf>
    <xf numFmtId="0" fontId="61" fillId="0" borderId="178">
      <alignment horizontal="left" vertical="center" wrapText="1" indent="2"/>
    </xf>
    <xf numFmtId="0" fontId="61" fillId="49" borderId="176">
      <alignment horizontal="left" vertical="center"/>
    </xf>
    <xf numFmtId="0" fontId="117" fillId="59" borderId="172" applyNumberFormat="0" applyAlignment="0" applyProtection="0"/>
    <xf numFmtId="0" fontId="61" fillId="0" borderId="175">
      <alignment horizontal="right" vertical="center"/>
    </xf>
    <xf numFmtId="4" fontId="61" fillId="0" borderId="175">
      <alignment horizontal="right" vertical="center"/>
    </xf>
    <xf numFmtId="0" fontId="61" fillId="0" borderId="175" applyNumberFormat="0" applyFill="0" applyAlignment="0" applyProtection="0"/>
    <xf numFmtId="0" fontId="121" fillId="72" borderId="171" applyNumberFormat="0" applyAlignment="0" applyProtection="0"/>
    <xf numFmtId="182" fontId="61" fillId="76" borderId="175" applyNumberFormat="0" applyFont="0" applyBorder="0" applyAlignment="0" applyProtection="0">
      <alignment horizontal="right" vertical="center"/>
    </xf>
    <xf numFmtId="0" fontId="61" fillId="50" borderId="175"/>
    <xf numFmtId="4" fontId="61" fillId="50" borderId="175"/>
    <xf numFmtId="0" fontId="124" fillId="0" borderId="173" applyNumberFormat="0" applyFill="0" applyAlignment="0" applyProtection="0"/>
    <xf numFmtId="0" fontId="39" fillId="75" borderId="174" applyNumberFormat="0" applyFont="0" applyAlignment="0" applyProtection="0"/>
    <xf numFmtId="0" fontId="99" fillId="75" borderId="174" applyNumberFormat="0" applyFont="0" applyAlignment="0" applyProtection="0"/>
    <xf numFmtId="0" fontId="61" fillId="0" borderId="175" applyNumberFormat="0" applyFill="0" applyAlignment="0" applyProtection="0"/>
    <xf numFmtId="0" fontId="109" fillId="0" borderId="173" applyNumberFormat="0" applyFill="0" applyAlignment="0" applyProtection="0"/>
    <xf numFmtId="0" fontId="124" fillId="0" borderId="173" applyNumberFormat="0" applyFill="0" applyAlignment="0" applyProtection="0"/>
    <xf numFmtId="0" fontId="108" fillId="59" borderId="172" applyNumberFormat="0" applyAlignment="0" applyProtection="0"/>
    <xf numFmtId="0" fontId="105" fillId="72" borderId="172" applyNumberFormat="0" applyAlignment="0" applyProtection="0"/>
    <xf numFmtId="4" fontId="96" fillId="49" borderId="175">
      <alignment horizontal="right" vertical="center"/>
    </xf>
    <xf numFmtId="0" fontId="94" fillId="49" borderId="175">
      <alignment horizontal="right" vertical="center"/>
    </xf>
    <xf numFmtId="182" fontId="61" fillId="76" borderId="175" applyNumberFormat="0" applyFont="0" applyBorder="0" applyAlignment="0" applyProtection="0">
      <alignment horizontal="right" vertical="center"/>
    </xf>
    <xf numFmtId="0" fontId="109" fillId="0" borderId="173" applyNumberFormat="0" applyFill="0" applyAlignment="0" applyProtection="0"/>
    <xf numFmtId="49" fontId="61" fillId="0" borderId="175" applyNumberFormat="0" applyFont="0" applyFill="0" applyBorder="0" applyProtection="0">
      <alignment horizontal="left" vertical="center" indent="2"/>
    </xf>
    <xf numFmtId="49" fontId="61" fillId="0" borderId="176" applyNumberFormat="0" applyFont="0" applyFill="0" applyBorder="0" applyProtection="0">
      <alignment horizontal="left" vertical="center" indent="5"/>
    </xf>
    <xf numFmtId="49" fontId="61" fillId="0" borderId="175" applyNumberFormat="0" applyFont="0" applyFill="0" applyBorder="0" applyProtection="0">
      <alignment horizontal="left" vertical="center" indent="2"/>
    </xf>
    <xf numFmtId="4" fontId="61" fillId="0" borderId="175" applyFill="0" applyBorder="0" applyProtection="0">
      <alignment horizontal="right" vertical="center"/>
    </xf>
    <xf numFmtId="49" fontId="62" fillId="0" borderId="175" applyNumberFormat="0" applyFill="0" applyBorder="0" applyProtection="0">
      <alignment horizontal="left" vertical="center"/>
    </xf>
    <xf numFmtId="0" fontId="61" fillId="0" borderId="178">
      <alignment horizontal="left" vertical="center" wrapText="1" indent="2"/>
    </xf>
    <xf numFmtId="0" fontId="121" fillId="72" borderId="171" applyNumberFormat="0" applyAlignment="0" applyProtection="0"/>
    <xf numFmtId="0" fontId="94" fillId="16" borderId="177">
      <alignment horizontal="right" vertical="center"/>
    </xf>
    <xf numFmtId="0" fontId="108" fillId="59" borderId="172" applyNumberFormat="0" applyAlignment="0" applyProtection="0"/>
    <xf numFmtId="0" fontId="94" fillId="16" borderId="177">
      <alignment horizontal="right" vertical="center"/>
    </xf>
    <xf numFmtId="4" fontId="94" fillId="16" borderId="175">
      <alignment horizontal="right" vertical="center"/>
    </xf>
    <xf numFmtId="0" fontId="94" fillId="16" borderId="175">
      <alignment horizontal="right" vertical="center"/>
    </xf>
    <xf numFmtId="0" fontId="102" fillId="72" borderId="171" applyNumberFormat="0" applyAlignment="0" applyProtection="0"/>
    <xf numFmtId="0" fontId="104" fillId="72" borderId="172" applyNumberFormat="0" applyAlignment="0" applyProtection="0"/>
    <xf numFmtId="0" fontId="109" fillId="0" borderId="173" applyNumberFormat="0" applyFill="0" applyAlignment="0" applyProtection="0"/>
    <xf numFmtId="0" fontId="61" fillId="50" borderId="175"/>
    <xf numFmtId="4" fontId="61" fillId="50" borderId="175"/>
    <xf numFmtId="4" fontId="94" fillId="16" borderId="175">
      <alignment horizontal="right" vertical="center"/>
    </xf>
    <xf numFmtId="0" fontId="96" fillId="49" borderId="175">
      <alignment horizontal="right" vertical="center"/>
    </xf>
    <xf numFmtId="0" fontId="108" fillId="59" borderId="172" applyNumberFormat="0" applyAlignment="0" applyProtection="0"/>
    <xf numFmtId="0" fontId="105" fillId="72" borderId="172" applyNumberFormat="0" applyAlignment="0" applyProtection="0"/>
    <xf numFmtId="4" fontId="61" fillId="0" borderId="175">
      <alignment horizontal="right" vertical="center"/>
    </xf>
    <xf numFmtId="0" fontId="61" fillId="16" borderId="178">
      <alignment horizontal="left" vertical="center" wrapText="1" indent="2"/>
    </xf>
    <xf numFmtId="0" fontId="61" fillId="0" borderId="178">
      <alignment horizontal="left" vertical="center" wrapText="1" indent="2"/>
    </xf>
    <xf numFmtId="0" fontId="121" fillId="72" borderId="171" applyNumberFormat="0" applyAlignment="0" applyProtection="0"/>
    <xf numFmtId="0" fontId="117" fillId="59" borderId="172" applyNumberFormat="0" applyAlignment="0" applyProtection="0"/>
    <xf numFmtId="0" fontId="104" fillId="72" borderId="172" applyNumberFormat="0" applyAlignment="0" applyProtection="0"/>
    <xf numFmtId="0" fontId="102" fillId="72" borderId="171" applyNumberFormat="0" applyAlignment="0" applyProtection="0"/>
    <xf numFmtId="0" fontId="94" fillId="16" borderId="177">
      <alignment horizontal="right" vertical="center"/>
    </xf>
    <xf numFmtId="0" fontId="96" fillId="49" borderId="175">
      <alignment horizontal="right" vertical="center"/>
    </xf>
    <xf numFmtId="4" fontId="94" fillId="49" borderId="175">
      <alignment horizontal="right" vertical="center"/>
    </xf>
    <xf numFmtId="4" fontId="94" fillId="16" borderId="175">
      <alignment horizontal="right" vertical="center"/>
    </xf>
    <xf numFmtId="49" fontId="61" fillId="0" borderId="176" applyNumberFormat="0" applyFont="0" applyFill="0" applyBorder="0" applyProtection="0">
      <alignment horizontal="left" vertical="center" indent="5"/>
    </xf>
    <xf numFmtId="4" fontId="61" fillId="0" borderId="175" applyFill="0" applyBorder="0" applyProtection="0">
      <alignment horizontal="right" vertical="center"/>
    </xf>
    <xf numFmtId="4" fontId="94" fillId="49" borderId="175">
      <alignment horizontal="right" vertical="center"/>
    </xf>
    <xf numFmtId="0" fontId="117" fillId="59" borderId="172" applyNumberFormat="0" applyAlignment="0" applyProtection="0"/>
    <xf numFmtId="0" fontId="108" fillId="59" borderId="172" applyNumberFormat="0" applyAlignment="0" applyProtection="0"/>
    <xf numFmtId="0" fontId="104" fillId="72" borderId="172" applyNumberFormat="0" applyAlignment="0" applyProtection="0"/>
    <xf numFmtId="0" fontId="61" fillId="16" borderId="178">
      <alignment horizontal="left" vertical="center" wrapText="1" indent="2"/>
    </xf>
    <xf numFmtId="0" fontId="61" fillId="0" borderId="178">
      <alignment horizontal="left" vertical="center" wrapText="1" indent="2"/>
    </xf>
    <xf numFmtId="0" fontId="61" fillId="16" borderId="178">
      <alignment horizontal="left" vertical="center" wrapText="1" indent="2"/>
    </xf>
    <xf numFmtId="4" fontId="94" fillId="16" borderId="182">
      <alignment horizontal="right" vertical="center"/>
    </xf>
    <xf numFmtId="0" fontId="61" fillId="50" borderId="182"/>
    <xf numFmtId="0" fontId="104" fillId="72" borderId="179" applyNumberFormat="0" applyAlignment="0" applyProtection="0"/>
    <xf numFmtId="0" fontId="94" fillId="49" borderId="182">
      <alignment horizontal="right" vertical="center"/>
    </xf>
    <xf numFmtId="0" fontId="61" fillId="0" borderId="182">
      <alignment horizontal="right" vertical="center"/>
    </xf>
    <xf numFmtId="0" fontId="124" fillId="0" borderId="180" applyNumberFormat="0" applyFill="0" applyAlignment="0" applyProtection="0"/>
    <xf numFmtId="0" fontId="61" fillId="49" borderId="183">
      <alignment horizontal="left" vertical="center"/>
    </xf>
    <xf numFmtId="0" fontId="117" fillId="59" borderId="179" applyNumberFormat="0" applyAlignment="0" applyProtection="0"/>
    <xf numFmtId="182" fontId="61" fillId="76" borderId="182" applyNumberFormat="0" applyFont="0" applyBorder="0" applyAlignment="0" applyProtection="0">
      <alignment horizontal="right" vertical="center"/>
    </xf>
    <xf numFmtId="0" fontId="99" fillId="75" borderId="181" applyNumberFormat="0" applyFont="0" applyAlignment="0" applyProtection="0"/>
    <xf numFmtId="0" fontId="61" fillId="0" borderId="185">
      <alignment horizontal="left" vertical="center" wrapText="1" indent="2"/>
    </xf>
    <xf numFmtId="4" fontId="61" fillId="50" borderId="182"/>
    <xf numFmtId="49" fontId="62" fillId="0" borderId="182" applyNumberFormat="0" applyFill="0" applyBorder="0" applyProtection="0">
      <alignment horizontal="left" vertical="center"/>
    </xf>
    <xf numFmtId="0" fontId="61" fillId="0" borderId="182">
      <alignment horizontal="right" vertical="center"/>
    </xf>
    <xf numFmtId="4" fontId="94" fillId="16" borderId="184">
      <alignment horizontal="right" vertical="center"/>
    </xf>
    <xf numFmtId="4" fontId="94" fillId="16" borderId="182">
      <alignment horizontal="right" vertical="center"/>
    </xf>
    <xf numFmtId="4" fontId="94" fillId="16" borderId="182">
      <alignment horizontal="right" vertical="center"/>
    </xf>
    <xf numFmtId="0" fontId="96" fillId="49" borderId="182">
      <alignment horizontal="right" vertical="center"/>
    </xf>
    <xf numFmtId="0" fontId="94" fillId="49" borderId="182">
      <alignment horizontal="right" vertical="center"/>
    </xf>
    <xf numFmtId="49" fontId="61" fillId="0" borderId="182" applyNumberFormat="0" applyFont="0" applyFill="0" applyBorder="0" applyProtection="0">
      <alignment horizontal="left" vertical="center" indent="2"/>
    </xf>
    <xf numFmtId="0" fontId="117" fillId="59" borderId="179" applyNumberFormat="0" applyAlignment="0" applyProtection="0"/>
    <xf numFmtId="0" fontId="102" fillId="72" borderId="186" applyNumberFormat="0" applyAlignment="0" applyProtection="0"/>
    <xf numFmtId="49" fontId="61" fillId="0" borderId="182" applyNumberFormat="0" applyFont="0" applyFill="0" applyBorder="0" applyProtection="0">
      <alignment horizontal="left" vertical="center" indent="2"/>
    </xf>
    <xf numFmtId="0" fontId="108" fillId="59" borderId="179" applyNumberFormat="0" applyAlignment="0" applyProtection="0"/>
    <xf numFmtId="4" fontId="61" fillId="0" borderId="182" applyFill="0" applyBorder="0" applyProtection="0">
      <alignment horizontal="right" vertical="center"/>
    </xf>
    <xf numFmtId="0" fontId="105" fillId="72" borderId="179" applyNumberFormat="0" applyAlignment="0" applyProtection="0"/>
    <xf numFmtId="0" fontId="124" fillId="0" borderId="180" applyNumberFormat="0" applyFill="0" applyAlignment="0" applyProtection="0"/>
    <xf numFmtId="0" fontId="121" fillId="72" borderId="186" applyNumberFormat="0" applyAlignment="0" applyProtection="0"/>
    <xf numFmtId="0" fontId="61" fillId="0" borderId="182" applyNumberFormat="0" applyFill="0" applyAlignment="0" applyProtection="0"/>
    <xf numFmtId="4" fontId="61" fillId="0" borderId="182">
      <alignment horizontal="right" vertical="center"/>
    </xf>
    <xf numFmtId="0" fontId="61" fillId="0" borderId="182">
      <alignment horizontal="right" vertical="center"/>
    </xf>
    <xf numFmtId="0" fontId="117" fillId="59" borderId="179" applyNumberFormat="0" applyAlignment="0" applyProtection="0"/>
    <xf numFmtId="0" fontId="102" fillId="72" borderId="186" applyNumberFormat="0" applyAlignment="0" applyProtection="0"/>
    <xf numFmtId="0" fontId="104" fillId="72" borderId="179" applyNumberFormat="0" applyAlignment="0" applyProtection="0"/>
    <xf numFmtId="0" fontId="61" fillId="16" borderId="185">
      <alignment horizontal="left" vertical="center" wrapText="1" indent="2"/>
    </xf>
    <xf numFmtId="0" fontId="105" fillId="72" borderId="179" applyNumberFormat="0" applyAlignment="0" applyProtection="0"/>
    <xf numFmtId="0" fontId="105" fillId="72" borderId="179" applyNumberFormat="0" applyAlignment="0" applyProtection="0"/>
    <xf numFmtId="4" fontId="94" fillId="16" borderId="183">
      <alignment horizontal="right" vertical="center"/>
    </xf>
    <xf numFmtId="0" fontId="94" fillId="16" borderId="183">
      <alignment horizontal="right" vertical="center"/>
    </xf>
    <xf numFmtId="0" fontId="94" fillId="16" borderId="182">
      <alignment horizontal="right" vertical="center"/>
    </xf>
    <xf numFmtId="4" fontId="96" fillId="49" borderId="182">
      <alignment horizontal="right" vertical="center"/>
    </xf>
    <xf numFmtId="0" fontId="108" fillId="59" borderId="179" applyNumberFormat="0" applyAlignment="0" applyProtection="0"/>
    <xf numFmtId="0" fontId="109" fillId="0" borderId="180" applyNumberFormat="0" applyFill="0" applyAlignment="0" applyProtection="0"/>
    <xf numFmtId="0" fontId="124" fillId="0" borderId="180" applyNumberFormat="0" applyFill="0" applyAlignment="0" applyProtection="0"/>
    <xf numFmtId="0" fontId="99" fillId="75" borderId="181" applyNumberFormat="0" applyFont="0" applyAlignment="0" applyProtection="0"/>
    <xf numFmtId="0" fontId="117" fillId="59" borderId="179" applyNumberFormat="0" applyAlignment="0" applyProtection="0"/>
    <xf numFmtId="49" fontId="62" fillId="0" borderId="182" applyNumberFormat="0" applyFill="0" applyBorder="0" applyProtection="0">
      <alignment horizontal="left" vertical="center"/>
    </xf>
    <xf numFmtId="0" fontId="61" fillId="16" borderId="185">
      <alignment horizontal="left" vertical="center" wrapText="1" indent="2"/>
    </xf>
    <xf numFmtId="0" fontId="105" fillId="72" borderId="179" applyNumberFormat="0" applyAlignment="0" applyProtection="0"/>
    <xf numFmtId="0" fontId="61" fillId="0" borderId="185">
      <alignment horizontal="left" vertical="center" wrapText="1" indent="2"/>
    </xf>
    <xf numFmtId="0" fontId="99" fillId="75" borderId="181" applyNumberFormat="0" applyFont="0" applyAlignment="0" applyProtection="0"/>
    <xf numFmtId="0" fontId="39" fillId="75" borderId="181" applyNumberFormat="0" applyFont="0" applyAlignment="0" applyProtection="0"/>
    <xf numFmtId="0" fontId="121" fillId="72" borderId="186" applyNumberFormat="0" applyAlignment="0" applyProtection="0"/>
    <xf numFmtId="0" fontId="124" fillId="0" borderId="180" applyNumberFormat="0" applyFill="0" applyAlignment="0" applyProtection="0"/>
    <xf numFmtId="4" fontId="61" fillId="50" borderId="182"/>
    <xf numFmtId="0" fontId="94" fillId="16" borderId="182">
      <alignment horizontal="right" vertical="center"/>
    </xf>
    <xf numFmtId="0" fontId="124" fillId="0" borderId="180" applyNumberFormat="0" applyFill="0" applyAlignment="0" applyProtection="0"/>
    <xf numFmtId="4" fontId="94" fillId="16" borderId="184">
      <alignment horizontal="right" vertical="center"/>
    </xf>
    <xf numFmtId="0" fontId="104" fillId="72" borderId="179" applyNumberFormat="0" applyAlignment="0" applyProtection="0"/>
    <xf numFmtId="0" fontId="94" fillId="16" borderId="183">
      <alignment horizontal="right" vertical="center"/>
    </xf>
    <xf numFmtId="0" fontId="105" fillId="72" borderId="179" applyNumberFormat="0" applyAlignment="0" applyProtection="0"/>
    <xf numFmtId="0" fontId="109" fillId="0" borderId="180" applyNumberFormat="0" applyFill="0" applyAlignment="0" applyProtection="0"/>
    <xf numFmtId="0" fontId="99" fillId="75" borderId="181" applyNumberFormat="0" applyFont="0" applyAlignment="0" applyProtection="0"/>
    <xf numFmtId="4" fontId="94" fillId="16" borderId="183">
      <alignment horizontal="right" vertical="center"/>
    </xf>
    <xf numFmtId="0" fontId="61" fillId="16" borderId="185">
      <alignment horizontal="left" vertical="center" wrapText="1" indent="2"/>
    </xf>
    <xf numFmtId="0" fontId="61" fillId="50" borderId="182"/>
    <xf numFmtId="182" fontId="61" fillId="76" borderId="182" applyNumberFormat="0" applyFont="0" applyBorder="0" applyAlignment="0" applyProtection="0">
      <alignment horizontal="right" vertical="center"/>
    </xf>
    <xf numFmtId="0" fontId="61" fillId="0" borderId="182" applyNumberFormat="0" applyFill="0" applyAlignment="0" applyProtection="0"/>
    <xf numFmtId="4" fontId="61" fillId="0" borderId="182" applyFill="0" applyBorder="0" applyProtection="0">
      <alignment horizontal="right" vertical="center"/>
    </xf>
    <xf numFmtId="4" fontId="94" fillId="49" borderId="182">
      <alignment horizontal="right" vertical="center"/>
    </xf>
    <xf numFmtId="0" fontId="109" fillId="0" borderId="180" applyNumberFormat="0" applyFill="0" applyAlignment="0" applyProtection="0"/>
    <xf numFmtId="49" fontId="62" fillId="0" borderId="182" applyNumberFormat="0" applyFill="0" applyBorder="0" applyProtection="0">
      <alignment horizontal="left" vertical="center"/>
    </xf>
    <xf numFmtId="49" fontId="61" fillId="0" borderId="183" applyNumberFormat="0" applyFont="0" applyFill="0" applyBorder="0" applyProtection="0">
      <alignment horizontal="left" vertical="center" indent="5"/>
    </xf>
    <xf numFmtId="0" fontId="61" fillId="49" borderId="183">
      <alignment horizontal="left" vertical="center"/>
    </xf>
    <xf numFmtId="0" fontId="105" fillId="72" borderId="179" applyNumberFormat="0" applyAlignment="0" applyProtection="0"/>
    <xf numFmtId="4" fontId="94" fillId="16" borderId="184">
      <alignment horizontal="right" vertical="center"/>
    </xf>
    <xf numFmtId="0" fontId="117" fillId="59" borderId="179" applyNumberFormat="0" applyAlignment="0" applyProtection="0"/>
    <xf numFmtId="0" fontId="117" fillId="59" borderId="179" applyNumberFormat="0" applyAlignment="0" applyProtection="0"/>
    <xf numFmtId="0" fontId="99" fillId="75" borderId="181" applyNumberFormat="0" applyFont="0" applyAlignment="0" applyProtection="0"/>
    <xf numFmtId="0" fontId="121" fillId="72" borderId="186" applyNumberFormat="0" applyAlignment="0" applyProtection="0"/>
    <xf numFmtId="0" fontId="124" fillId="0" borderId="180" applyNumberFormat="0" applyFill="0" applyAlignment="0" applyProtection="0"/>
    <xf numFmtId="0" fontId="94" fillId="16" borderId="182">
      <alignment horizontal="right" vertical="center"/>
    </xf>
    <xf numFmtId="0" fontId="39" fillId="75" borderId="181" applyNumberFormat="0" applyFont="0" applyAlignment="0" applyProtection="0"/>
    <xf numFmtId="4" fontId="61" fillId="0" borderId="182">
      <alignment horizontal="right" vertical="center"/>
    </xf>
    <xf numFmtId="0" fontId="124" fillId="0" borderId="180" applyNumberFormat="0" applyFill="0" applyAlignment="0" applyProtection="0"/>
    <xf numFmtId="0" fontId="94" fillId="16" borderId="182">
      <alignment horizontal="right" vertical="center"/>
    </xf>
    <xf numFmtId="0" fontId="94" fillId="16" borderId="182">
      <alignment horizontal="right" vertical="center"/>
    </xf>
    <xf numFmtId="4" fontId="96" fillId="49" borderId="182">
      <alignment horizontal="right" vertical="center"/>
    </xf>
    <xf numFmtId="0" fontId="94" fillId="49" borderId="182">
      <alignment horizontal="right" vertical="center"/>
    </xf>
    <xf numFmtId="4" fontId="94" fillId="49" borderId="182">
      <alignment horizontal="right" vertical="center"/>
    </xf>
    <xf numFmtId="0" fontId="96" fillId="49" borderId="182">
      <alignment horizontal="right" vertical="center"/>
    </xf>
    <xf numFmtId="4" fontId="96" fillId="49" borderId="182">
      <alignment horizontal="right" vertical="center"/>
    </xf>
    <xf numFmtId="0" fontId="94" fillId="16" borderId="182">
      <alignment horizontal="right" vertical="center"/>
    </xf>
    <xf numFmtId="4" fontId="94" fillId="16" borderId="182">
      <alignment horizontal="right" vertical="center"/>
    </xf>
    <xf numFmtId="0" fontId="94" fillId="16" borderId="182">
      <alignment horizontal="right" vertical="center"/>
    </xf>
    <xf numFmtId="4" fontId="94" fillId="16" borderId="182">
      <alignment horizontal="right" vertical="center"/>
    </xf>
    <xf numFmtId="0" fontId="94" fillId="16" borderId="183">
      <alignment horizontal="right" vertical="center"/>
    </xf>
    <xf numFmtId="4" fontId="94" fillId="16" borderId="183">
      <alignment horizontal="right" vertical="center"/>
    </xf>
    <xf numFmtId="0" fontId="94" fillId="16" borderId="184">
      <alignment horizontal="right" vertical="center"/>
    </xf>
    <xf numFmtId="4" fontId="94" fillId="16" borderId="184">
      <alignment horizontal="right" vertical="center"/>
    </xf>
    <xf numFmtId="0" fontId="105" fillId="72" borderId="179" applyNumberFormat="0" applyAlignment="0" applyProtection="0"/>
    <xf numFmtId="0" fontId="61" fillId="16" borderId="185">
      <alignment horizontal="left" vertical="center" wrapText="1" indent="2"/>
    </xf>
    <xf numFmtId="0" fontId="61" fillId="0" borderId="185">
      <alignment horizontal="left" vertical="center" wrapText="1" indent="2"/>
    </xf>
    <xf numFmtId="0" fontId="61" fillId="49" borderId="183">
      <alignment horizontal="left" vertical="center"/>
    </xf>
    <xf numFmtId="0" fontId="117" fillId="59" borderId="179" applyNumberFormat="0" applyAlignment="0" applyProtection="0"/>
    <xf numFmtId="0" fontId="61" fillId="0" borderId="182">
      <alignment horizontal="right" vertical="center"/>
    </xf>
    <xf numFmtId="4" fontId="61" fillId="0" borderId="182">
      <alignment horizontal="right" vertical="center"/>
    </xf>
    <xf numFmtId="0" fontId="61" fillId="0" borderId="182" applyNumberFormat="0" applyFill="0" applyAlignment="0" applyProtection="0"/>
    <xf numFmtId="0" fontId="121" fillId="72" borderId="186" applyNumberFormat="0" applyAlignment="0" applyProtection="0"/>
    <xf numFmtId="182" fontId="61" fillId="76" borderId="182" applyNumberFormat="0" applyFont="0" applyBorder="0" applyAlignment="0" applyProtection="0">
      <alignment horizontal="right" vertical="center"/>
    </xf>
    <xf numFmtId="0" fontId="61" fillId="50" borderId="182"/>
    <xf numFmtId="4" fontId="61" fillId="50" borderId="182"/>
    <xf numFmtId="0" fontId="124" fillId="0" borderId="180" applyNumberFormat="0" applyFill="0" applyAlignment="0" applyProtection="0"/>
    <xf numFmtId="0" fontId="39" fillId="75" borderId="181" applyNumberFormat="0" applyFont="0" applyAlignment="0" applyProtection="0"/>
    <xf numFmtId="0" fontId="99" fillId="75" borderId="181" applyNumberFormat="0" applyFont="0" applyAlignment="0" applyProtection="0"/>
    <xf numFmtId="0" fontId="61" fillId="0" borderId="182" applyNumberFormat="0" applyFill="0" applyAlignment="0" applyProtection="0"/>
    <xf numFmtId="0" fontId="109" fillId="0" borderId="180" applyNumberFormat="0" applyFill="0" applyAlignment="0" applyProtection="0"/>
    <xf numFmtId="0" fontId="124" fillId="0" borderId="180" applyNumberFormat="0" applyFill="0" applyAlignment="0" applyProtection="0"/>
    <xf numFmtId="0" fontId="108" fillId="59" borderId="179" applyNumberFormat="0" applyAlignment="0" applyProtection="0"/>
    <xf numFmtId="0" fontId="105" fillId="72" borderId="179" applyNumberFormat="0" applyAlignment="0" applyProtection="0"/>
    <xf numFmtId="4" fontId="96" fillId="49" borderId="182">
      <alignment horizontal="right" vertical="center"/>
    </xf>
    <xf numFmtId="0" fontId="94" fillId="49" borderId="182">
      <alignment horizontal="right" vertical="center"/>
    </xf>
    <xf numFmtId="182" fontId="61" fillId="76" borderId="182" applyNumberFormat="0" applyFont="0" applyBorder="0" applyAlignment="0" applyProtection="0">
      <alignment horizontal="right" vertical="center"/>
    </xf>
    <xf numFmtId="0" fontId="109" fillId="0" borderId="180" applyNumberFormat="0" applyFill="0" applyAlignment="0" applyProtection="0"/>
    <xf numFmtId="49" fontId="61" fillId="0" borderId="182" applyNumberFormat="0" applyFont="0" applyFill="0" applyBorder="0" applyProtection="0">
      <alignment horizontal="left" vertical="center" indent="2"/>
    </xf>
    <xf numFmtId="49" fontId="61" fillId="0" borderId="183" applyNumberFormat="0" applyFont="0" applyFill="0" applyBorder="0" applyProtection="0">
      <alignment horizontal="left" vertical="center" indent="5"/>
    </xf>
    <xf numFmtId="49" fontId="61" fillId="0" borderId="182" applyNumberFormat="0" applyFont="0" applyFill="0" applyBorder="0" applyProtection="0">
      <alignment horizontal="left" vertical="center" indent="2"/>
    </xf>
    <xf numFmtId="4" fontId="61" fillId="0" borderId="182" applyFill="0" applyBorder="0" applyProtection="0">
      <alignment horizontal="right" vertical="center"/>
    </xf>
    <xf numFmtId="49" fontId="62" fillId="0" borderId="182" applyNumberFormat="0" applyFill="0" applyBorder="0" applyProtection="0">
      <alignment horizontal="left" vertical="center"/>
    </xf>
    <xf numFmtId="0" fontId="61" fillId="0" borderId="185">
      <alignment horizontal="left" vertical="center" wrapText="1" indent="2"/>
    </xf>
    <xf numFmtId="0" fontId="121" fillId="72" borderId="186" applyNumberFormat="0" applyAlignment="0" applyProtection="0"/>
    <xf numFmtId="0" fontId="94" fillId="16" borderId="184">
      <alignment horizontal="right" vertical="center"/>
    </xf>
    <xf numFmtId="0" fontId="108" fillId="59" borderId="179" applyNumberFormat="0" applyAlignment="0" applyProtection="0"/>
    <xf numFmtId="0" fontId="94" fillId="16" borderId="184">
      <alignment horizontal="right" vertical="center"/>
    </xf>
    <xf numFmtId="4" fontId="94" fillId="16" borderId="182">
      <alignment horizontal="right" vertical="center"/>
    </xf>
    <xf numFmtId="0" fontId="94" fillId="16" borderId="182">
      <alignment horizontal="right" vertical="center"/>
    </xf>
    <xf numFmtId="0" fontId="102" fillId="72" borderId="186" applyNumberFormat="0" applyAlignment="0" applyProtection="0"/>
    <xf numFmtId="0" fontId="104" fillId="72" borderId="179" applyNumberFormat="0" applyAlignment="0" applyProtection="0"/>
    <xf numFmtId="0" fontId="109" fillId="0" borderId="180" applyNumberFormat="0" applyFill="0" applyAlignment="0" applyProtection="0"/>
    <xf numFmtId="0" fontId="61" fillId="50" borderId="182"/>
    <xf numFmtId="4" fontId="61" fillId="50" borderId="182"/>
    <xf numFmtId="4" fontId="94" fillId="16" borderId="182">
      <alignment horizontal="right" vertical="center"/>
    </xf>
    <xf numFmtId="0" fontId="96" fillId="49" borderId="182">
      <alignment horizontal="right" vertical="center"/>
    </xf>
    <xf numFmtId="0" fontId="108" fillId="59" borderId="179" applyNumberFormat="0" applyAlignment="0" applyProtection="0"/>
    <xf numFmtId="0" fontId="105" fillId="72" borderId="179" applyNumberFormat="0" applyAlignment="0" applyProtection="0"/>
    <xf numFmtId="4" fontId="61" fillId="0" borderId="182">
      <alignment horizontal="right" vertical="center"/>
    </xf>
    <xf numFmtId="0" fontId="61" fillId="16" borderId="185">
      <alignment horizontal="left" vertical="center" wrapText="1" indent="2"/>
    </xf>
    <xf numFmtId="0" fontId="61" fillId="0" borderId="185">
      <alignment horizontal="left" vertical="center" wrapText="1" indent="2"/>
    </xf>
    <xf numFmtId="0" fontId="121" fillId="72" borderId="186" applyNumberFormat="0" applyAlignment="0" applyProtection="0"/>
    <xf numFmtId="0" fontId="117" fillId="59" borderId="179" applyNumberFormat="0" applyAlignment="0" applyProtection="0"/>
    <xf numFmtId="0" fontId="104" fillId="72" borderId="179" applyNumberFormat="0" applyAlignment="0" applyProtection="0"/>
    <xf numFmtId="0" fontId="102" fillId="72" borderId="186" applyNumberFormat="0" applyAlignment="0" applyProtection="0"/>
    <xf numFmtId="0" fontId="94" fillId="16" borderId="184">
      <alignment horizontal="right" vertical="center"/>
    </xf>
    <xf numFmtId="0" fontId="96" fillId="49" borderId="182">
      <alignment horizontal="right" vertical="center"/>
    </xf>
    <xf numFmtId="4" fontId="94" fillId="49" borderId="182">
      <alignment horizontal="right" vertical="center"/>
    </xf>
    <xf numFmtId="4" fontId="94" fillId="16" borderId="182">
      <alignment horizontal="right" vertical="center"/>
    </xf>
    <xf numFmtId="49" fontId="61" fillId="0" borderId="183" applyNumberFormat="0" applyFont="0" applyFill="0" applyBorder="0" applyProtection="0">
      <alignment horizontal="left" vertical="center" indent="5"/>
    </xf>
    <xf numFmtId="4" fontId="61" fillId="0" borderId="182" applyFill="0" applyBorder="0" applyProtection="0">
      <alignment horizontal="right" vertical="center"/>
    </xf>
    <xf numFmtId="4" fontId="94" fillId="49" borderId="182">
      <alignment horizontal="right" vertical="center"/>
    </xf>
    <xf numFmtId="0" fontId="117" fillId="59" borderId="179" applyNumberFormat="0" applyAlignment="0" applyProtection="0"/>
    <xf numFmtId="0" fontId="108" fillId="59" borderId="179" applyNumberFormat="0" applyAlignment="0" applyProtection="0"/>
    <xf numFmtId="0" fontId="104" fillId="72" borderId="179" applyNumberFormat="0" applyAlignment="0" applyProtection="0"/>
    <xf numFmtId="0" fontId="61" fillId="16" borderId="185">
      <alignment horizontal="left" vertical="center" wrapText="1" indent="2"/>
    </xf>
    <xf numFmtId="0" fontId="61" fillId="0" borderId="185">
      <alignment horizontal="left" vertical="center" wrapText="1" indent="2"/>
    </xf>
    <xf numFmtId="0" fontId="61" fillId="16" borderId="185">
      <alignment horizontal="left" vertical="center" wrapText="1" indent="2"/>
    </xf>
    <xf numFmtId="0" fontId="61" fillId="0" borderId="185">
      <alignment horizontal="left" vertical="center" wrapText="1" indent="2"/>
    </xf>
    <xf numFmtId="0" fontId="102" fillId="72" borderId="186" applyNumberFormat="0" applyAlignment="0" applyProtection="0"/>
    <xf numFmtId="0" fontId="104" fillId="72" borderId="179" applyNumberFormat="0" applyAlignment="0" applyProtection="0"/>
    <xf numFmtId="0" fontId="105" fillId="72" borderId="179" applyNumberFormat="0" applyAlignment="0" applyProtection="0"/>
    <xf numFmtId="0" fontId="108" fillId="59" borderId="179" applyNumberFormat="0" applyAlignment="0" applyProtection="0"/>
    <xf numFmtId="0" fontId="109" fillId="0" borderId="180" applyNumberFormat="0" applyFill="0" applyAlignment="0" applyProtection="0"/>
    <xf numFmtId="0" fontId="117" fillId="59" borderId="179" applyNumberFormat="0" applyAlignment="0" applyProtection="0"/>
    <xf numFmtId="0" fontId="99" fillId="75" borderId="181" applyNumberFormat="0" applyFont="0" applyAlignment="0" applyProtection="0"/>
    <xf numFmtId="0" fontId="39" fillId="75" borderId="181" applyNumberFormat="0" applyFont="0" applyAlignment="0" applyProtection="0"/>
    <xf numFmtId="0" fontId="121" fillId="72" borderId="186" applyNumberFormat="0" applyAlignment="0" applyProtection="0"/>
    <xf numFmtId="0" fontId="124" fillId="0" borderId="180" applyNumberFormat="0" applyFill="0" applyAlignment="0" applyProtection="0"/>
    <xf numFmtId="0" fontId="105" fillId="72" borderId="179" applyNumberFormat="0" applyAlignment="0" applyProtection="0"/>
    <xf numFmtId="0" fontId="117" fillId="59" borderId="179" applyNumberFormat="0" applyAlignment="0" applyProtection="0"/>
    <xf numFmtId="0" fontId="99" fillId="75" borderId="181" applyNumberFormat="0" applyFont="0" applyAlignment="0" applyProtection="0"/>
    <xf numFmtId="0" fontId="121" fillId="72" borderId="186" applyNumberFormat="0" applyAlignment="0" applyProtection="0"/>
    <xf numFmtId="0" fontId="124" fillId="0" borderId="180" applyNumberFormat="0" applyFill="0" applyAlignment="0" applyProtection="0"/>
    <xf numFmtId="0" fontId="105" fillId="72" borderId="179" applyNumberFormat="0" applyAlignment="0" applyProtection="0"/>
    <xf numFmtId="0" fontId="117" fillId="59" borderId="179" applyNumberFormat="0" applyAlignment="0" applyProtection="0"/>
    <xf numFmtId="0" fontId="121" fillId="72" borderId="186" applyNumberFormat="0" applyAlignment="0" applyProtection="0"/>
    <xf numFmtId="0" fontId="124" fillId="0" borderId="180" applyNumberFormat="0" applyFill="0" applyAlignment="0" applyProtection="0"/>
    <xf numFmtId="0" fontId="102" fillId="72" borderId="186" applyNumberFormat="0" applyAlignment="0" applyProtection="0"/>
    <xf numFmtId="0" fontId="104" fillId="72" borderId="179" applyNumberFormat="0" applyAlignment="0" applyProtection="0"/>
    <xf numFmtId="0" fontId="109" fillId="0" borderId="180" applyNumberFormat="0" applyFill="0" applyAlignment="0" applyProtection="0"/>
    <xf numFmtId="49" fontId="61" fillId="0" borderId="182" applyNumberFormat="0" applyFont="0" applyFill="0" applyBorder="0" applyProtection="0">
      <alignment horizontal="left" vertical="center" indent="2"/>
    </xf>
    <xf numFmtId="0" fontId="94" fillId="49" borderId="182">
      <alignment horizontal="right" vertical="center"/>
    </xf>
    <xf numFmtId="4" fontId="94" fillId="49" borderId="182">
      <alignment horizontal="right" vertical="center"/>
    </xf>
    <xf numFmtId="0" fontId="96" fillId="49" borderId="182">
      <alignment horizontal="right" vertical="center"/>
    </xf>
    <xf numFmtId="4" fontId="96" fillId="49" borderId="182">
      <alignment horizontal="right" vertical="center"/>
    </xf>
    <xf numFmtId="0" fontId="94" fillId="16" borderId="182">
      <alignment horizontal="right" vertical="center"/>
    </xf>
    <xf numFmtId="4" fontId="94" fillId="16" borderId="182">
      <alignment horizontal="right" vertical="center"/>
    </xf>
    <xf numFmtId="0" fontId="94" fillId="16" borderId="182">
      <alignment horizontal="right" vertical="center"/>
    </xf>
    <xf numFmtId="4" fontId="94" fillId="16" borderId="182">
      <alignment horizontal="right" vertical="center"/>
    </xf>
    <xf numFmtId="0" fontId="108" fillId="59" borderId="179" applyNumberFormat="0" applyAlignment="0" applyProtection="0"/>
    <xf numFmtId="0" fontId="61" fillId="0" borderId="182">
      <alignment horizontal="right" vertical="center"/>
    </xf>
    <xf numFmtId="4" fontId="61" fillId="0" borderId="182">
      <alignment horizontal="right" vertical="center"/>
    </xf>
    <xf numFmtId="4" fontId="61" fillId="0" borderId="182" applyFill="0" applyBorder="0" applyProtection="0">
      <alignment horizontal="right" vertical="center"/>
    </xf>
    <xf numFmtId="49" fontId="62" fillId="0" borderId="182" applyNumberFormat="0" applyFill="0" applyBorder="0" applyProtection="0">
      <alignment horizontal="left" vertical="center"/>
    </xf>
    <xf numFmtId="0" fontId="61" fillId="0" borderId="182" applyNumberFormat="0" applyFill="0" applyAlignment="0" applyProtection="0"/>
    <xf numFmtId="182" fontId="61" fillId="76" borderId="182" applyNumberFormat="0" applyFont="0" applyBorder="0" applyAlignment="0" applyProtection="0">
      <alignment horizontal="right" vertical="center"/>
    </xf>
    <xf numFmtId="0" fontId="61" fillId="50" borderId="182"/>
    <xf numFmtId="4" fontId="61" fillId="50" borderId="182"/>
    <xf numFmtId="4" fontId="94" fillId="16" borderId="182">
      <alignment horizontal="right" vertical="center"/>
    </xf>
    <xf numFmtId="0" fontId="61" fillId="50" borderId="182"/>
    <xf numFmtId="0" fontId="104" fillId="72" borderId="179" applyNumberFormat="0" applyAlignment="0" applyProtection="0"/>
    <xf numFmtId="0" fontId="94" fillId="49" borderId="182">
      <alignment horizontal="right" vertical="center"/>
    </xf>
    <xf numFmtId="0" fontId="61" fillId="0" borderId="182">
      <alignment horizontal="right" vertical="center"/>
    </xf>
    <xf numFmtId="0" fontId="124" fillId="0" borderId="180" applyNumberFormat="0" applyFill="0" applyAlignment="0" applyProtection="0"/>
    <xf numFmtId="0" fontId="61" fillId="49" borderId="183">
      <alignment horizontal="left" vertical="center"/>
    </xf>
    <xf numFmtId="0" fontId="117" fillId="59" borderId="179" applyNumberFormat="0" applyAlignment="0" applyProtection="0"/>
    <xf numFmtId="182" fontId="61" fillId="76" borderId="182" applyNumberFormat="0" applyFont="0" applyBorder="0" applyAlignment="0" applyProtection="0">
      <alignment horizontal="right" vertical="center"/>
    </xf>
    <xf numFmtId="0" fontId="99" fillId="75" borderId="181" applyNumberFormat="0" applyFont="0" applyAlignment="0" applyProtection="0"/>
    <xf numFmtId="0" fontId="61" fillId="0" borderId="185">
      <alignment horizontal="left" vertical="center" wrapText="1" indent="2"/>
    </xf>
    <xf numFmtId="4" fontId="61" fillId="50" borderId="182"/>
    <xf numFmtId="49" fontId="62" fillId="0" borderId="182" applyNumberFormat="0" applyFill="0" applyBorder="0" applyProtection="0">
      <alignment horizontal="left" vertical="center"/>
    </xf>
    <xf numFmtId="0" fontId="61" fillId="0" borderId="182">
      <alignment horizontal="right" vertical="center"/>
    </xf>
    <xf numFmtId="4" fontId="94" fillId="16" borderId="184">
      <alignment horizontal="right" vertical="center"/>
    </xf>
    <xf numFmtId="4" fontId="94" fillId="16" borderId="182">
      <alignment horizontal="right" vertical="center"/>
    </xf>
    <xf numFmtId="4" fontId="94" fillId="16" borderId="182">
      <alignment horizontal="right" vertical="center"/>
    </xf>
    <xf numFmtId="0" fontId="96" fillId="49" borderId="182">
      <alignment horizontal="right" vertical="center"/>
    </xf>
    <xf numFmtId="0" fontId="94" fillId="49" borderId="182">
      <alignment horizontal="right" vertical="center"/>
    </xf>
    <xf numFmtId="49" fontId="61" fillId="0" borderId="182" applyNumberFormat="0" applyFont="0" applyFill="0" applyBorder="0" applyProtection="0">
      <alignment horizontal="left" vertical="center" indent="2"/>
    </xf>
    <xf numFmtId="0" fontId="117" fillId="59" borderId="179" applyNumberFormat="0" applyAlignment="0" applyProtection="0"/>
    <xf numFmtId="0" fontId="102" fillId="72" borderId="186" applyNumberFormat="0" applyAlignment="0" applyProtection="0"/>
    <xf numFmtId="49" fontId="61" fillId="0" borderId="182" applyNumberFormat="0" applyFont="0" applyFill="0" applyBorder="0" applyProtection="0">
      <alignment horizontal="left" vertical="center" indent="2"/>
    </xf>
    <xf numFmtId="0" fontId="108" fillId="59" borderId="179" applyNumberFormat="0" applyAlignment="0" applyProtection="0"/>
    <xf numFmtId="4" fontId="61" fillId="0" borderId="182" applyFill="0" applyBorder="0" applyProtection="0">
      <alignment horizontal="right" vertical="center"/>
    </xf>
    <xf numFmtId="0" fontId="105" fillId="72" borderId="179" applyNumberFormat="0" applyAlignment="0" applyProtection="0"/>
    <xf numFmtId="0" fontId="124" fillId="0" borderId="180" applyNumberFormat="0" applyFill="0" applyAlignment="0" applyProtection="0"/>
    <xf numFmtId="0" fontId="121" fillId="72" borderId="186" applyNumberFormat="0" applyAlignment="0" applyProtection="0"/>
    <xf numFmtId="0" fontId="61" fillId="0" borderId="182" applyNumberFormat="0" applyFill="0" applyAlignment="0" applyProtection="0"/>
    <xf numFmtId="4" fontId="61" fillId="0" borderId="182">
      <alignment horizontal="right" vertical="center"/>
    </xf>
    <xf numFmtId="0" fontId="61" fillId="0" borderId="182">
      <alignment horizontal="right" vertical="center"/>
    </xf>
    <xf numFmtId="0" fontId="117" fillId="59" borderId="179" applyNumberFormat="0" applyAlignment="0" applyProtection="0"/>
    <xf numFmtId="0" fontId="102" fillId="72" borderId="186" applyNumberFormat="0" applyAlignment="0" applyProtection="0"/>
    <xf numFmtId="0" fontId="104" fillId="72" borderId="179" applyNumberFormat="0" applyAlignment="0" applyProtection="0"/>
    <xf numFmtId="0" fontId="61" fillId="16" borderId="185">
      <alignment horizontal="left" vertical="center" wrapText="1" indent="2"/>
    </xf>
    <xf numFmtId="0" fontId="105" fillId="72" borderId="179" applyNumberFormat="0" applyAlignment="0" applyProtection="0"/>
    <xf numFmtId="0" fontId="105" fillId="72" borderId="179" applyNumberFormat="0" applyAlignment="0" applyProtection="0"/>
    <xf numFmtId="4" fontId="94" fillId="16" borderId="183">
      <alignment horizontal="right" vertical="center"/>
    </xf>
    <xf numFmtId="0" fontId="94" fillId="16" borderId="183">
      <alignment horizontal="right" vertical="center"/>
    </xf>
    <xf numFmtId="0" fontId="94" fillId="16" borderId="182">
      <alignment horizontal="right" vertical="center"/>
    </xf>
    <xf numFmtId="4" fontId="96" fillId="49" borderId="182">
      <alignment horizontal="right" vertical="center"/>
    </xf>
    <xf numFmtId="0" fontId="108" fillId="59" borderId="179" applyNumberFormat="0" applyAlignment="0" applyProtection="0"/>
    <xf numFmtId="0" fontId="109" fillId="0" borderId="180" applyNumberFormat="0" applyFill="0" applyAlignment="0" applyProtection="0"/>
    <xf numFmtId="0" fontId="124" fillId="0" borderId="180" applyNumberFormat="0" applyFill="0" applyAlignment="0" applyProtection="0"/>
    <xf numFmtId="0" fontId="99" fillId="75" borderId="181" applyNumberFormat="0" applyFont="0" applyAlignment="0" applyProtection="0"/>
    <xf numFmtId="0" fontId="117" fillId="59" borderId="179" applyNumberFormat="0" applyAlignment="0" applyProtection="0"/>
    <xf numFmtId="49" fontId="62" fillId="0" borderId="182" applyNumberFormat="0" applyFill="0" applyBorder="0" applyProtection="0">
      <alignment horizontal="left" vertical="center"/>
    </xf>
    <xf numFmtId="0" fontId="61" fillId="16" borderId="185">
      <alignment horizontal="left" vertical="center" wrapText="1" indent="2"/>
    </xf>
    <xf numFmtId="0" fontId="105" fillId="72" borderId="179" applyNumberFormat="0" applyAlignment="0" applyProtection="0"/>
    <xf numFmtId="0" fontId="61" fillId="0" borderId="185">
      <alignment horizontal="left" vertical="center" wrapText="1" indent="2"/>
    </xf>
    <xf numFmtId="0" fontId="99" fillId="75" borderId="181" applyNumberFormat="0" applyFont="0" applyAlignment="0" applyProtection="0"/>
    <xf numFmtId="0" fontId="39" fillId="75" borderId="181" applyNumberFormat="0" applyFont="0" applyAlignment="0" applyProtection="0"/>
    <xf numFmtId="0" fontId="121" fillId="72" borderId="186" applyNumberFormat="0" applyAlignment="0" applyProtection="0"/>
    <xf numFmtId="0" fontId="124" fillId="0" borderId="180" applyNumberFormat="0" applyFill="0" applyAlignment="0" applyProtection="0"/>
    <xf numFmtId="4" fontId="61" fillId="50" borderId="182"/>
    <xf numFmtId="0" fontId="94" fillId="16" borderId="182">
      <alignment horizontal="right" vertical="center"/>
    </xf>
    <xf numFmtId="0" fontId="124" fillId="0" borderId="180" applyNumberFormat="0" applyFill="0" applyAlignment="0" applyProtection="0"/>
    <xf numFmtId="4" fontId="94" fillId="16" borderId="184">
      <alignment horizontal="right" vertical="center"/>
    </xf>
    <xf numFmtId="0" fontId="104" fillId="72" borderId="179" applyNumberFormat="0" applyAlignment="0" applyProtection="0"/>
    <xf numFmtId="0" fontId="94" fillId="16" borderId="183">
      <alignment horizontal="right" vertical="center"/>
    </xf>
    <xf numFmtId="0" fontId="105" fillId="72" borderId="179" applyNumberFormat="0" applyAlignment="0" applyProtection="0"/>
    <xf numFmtId="0" fontId="109" fillId="0" borderId="180" applyNumberFormat="0" applyFill="0" applyAlignment="0" applyProtection="0"/>
    <xf numFmtId="0" fontId="99" fillId="75" borderId="181" applyNumberFormat="0" applyFont="0" applyAlignment="0" applyProtection="0"/>
    <xf numFmtId="4" fontId="94" fillId="16" borderId="183">
      <alignment horizontal="right" vertical="center"/>
    </xf>
    <xf numFmtId="0" fontId="61" fillId="16" borderId="185">
      <alignment horizontal="left" vertical="center" wrapText="1" indent="2"/>
    </xf>
    <xf numFmtId="0" fontId="61" fillId="50" borderId="182"/>
    <xf numFmtId="182" fontId="61" fillId="76" borderId="182" applyNumberFormat="0" applyFont="0" applyBorder="0" applyAlignment="0" applyProtection="0">
      <alignment horizontal="right" vertical="center"/>
    </xf>
    <xf numFmtId="0" fontId="61" fillId="0" borderId="182" applyNumberFormat="0" applyFill="0" applyAlignment="0" applyProtection="0"/>
    <xf numFmtId="4" fontId="61" fillId="0" borderId="182" applyFill="0" applyBorder="0" applyProtection="0">
      <alignment horizontal="right" vertical="center"/>
    </xf>
    <xf numFmtId="4" fontId="94" fillId="49" borderId="182">
      <alignment horizontal="right" vertical="center"/>
    </xf>
    <xf numFmtId="0" fontId="109" fillId="0" borderId="180" applyNumberFormat="0" applyFill="0" applyAlignment="0" applyProtection="0"/>
    <xf numFmtId="49" fontId="62" fillId="0" borderId="182" applyNumberFormat="0" applyFill="0" applyBorder="0" applyProtection="0">
      <alignment horizontal="left" vertical="center"/>
    </xf>
    <xf numFmtId="49" fontId="61" fillId="0" borderId="183" applyNumberFormat="0" applyFont="0" applyFill="0" applyBorder="0" applyProtection="0">
      <alignment horizontal="left" vertical="center" indent="5"/>
    </xf>
    <xf numFmtId="0" fontId="61" fillId="49" borderId="183">
      <alignment horizontal="left" vertical="center"/>
    </xf>
    <xf numFmtId="0" fontId="105" fillId="72" borderId="179" applyNumberFormat="0" applyAlignment="0" applyProtection="0"/>
    <xf numFmtId="4" fontId="94" fillId="16" borderId="184">
      <alignment horizontal="right" vertical="center"/>
    </xf>
    <xf numFmtId="0" fontId="117" fillId="59" borderId="179" applyNumberFormat="0" applyAlignment="0" applyProtection="0"/>
    <xf numFmtId="0" fontId="117" fillId="59" borderId="179" applyNumberFormat="0" applyAlignment="0" applyProtection="0"/>
    <xf numFmtId="0" fontId="99" fillId="75" borderId="181" applyNumberFormat="0" applyFont="0" applyAlignment="0" applyProtection="0"/>
    <xf numFmtId="0" fontId="121" fillId="72" borderId="186" applyNumberFormat="0" applyAlignment="0" applyProtection="0"/>
    <xf numFmtId="0" fontId="124" fillId="0" borderId="180" applyNumberFormat="0" applyFill="0" applyAlignment="0" applyProtection="0"/>
    <xf numFmtId="0" fontId="94" fillId="16" borderId="182">
      <alignment horizontal="right" vertical="center"/>
    </xf>
    <xf numFmtId="0" fontId="39" fillId="75" borderId="181" applyNumberFormat="0" applyFont="0" applyAlignment="0" applyProtection="0"/>
    <xf numFmtId="4" fontId="61" fillId="0" borderId="182">
      <alignment horizontal="right" vertical="center"/>
    </xf>
    <xf numFmtId="0" fontId="124" fillId="0" borderId="180" applyNumberFormat="0" applyFill="0" applyAlignment="0" applyProtection="0"/>
    <xf numFmtId="0" fontId="94" fillId="16" borderId="182">
      <alignment horizontal="right" vertical="center"/>
    </xf>
    <xf numFmtId="0" fontId="94" fillId="16" borderId="182">
      <alignment horizontal="right" vertical="center"/>
    </xf>
    <xf numFmtId="4" fontId="96" fillId="49" borderId="182">
      <alignment horizontal="right" vertical="center"/>
    </xf>
    <xf numFmtId="0" fontId="94" fillId="49" borderId="182">
      <alignment horizontal="right" vertical="center"/>
    </xf>
    <xf numFmtId="4" fontId="94" fillId="49" borderId="182">
      <alignment horizontal="right" vertical="center"/>
    </xf>
    <xf numFmtId="0" fontId="96" fillId="49" borderId="182">
      <alignment horizontal="right" vertical="center"/>
    </xf>
    <xf numFmtId="4" fontId="96" fillId="49" borderId="182">
      <alignment horizontal="right" vertical="center"/>
    </xf>
    <xf numFmtId="0" fontId="94" fillId="16" borderId="182">
      <alignment horizontal="right" vertical="center"/>
    </xf>
    <xf numFmtId="4" fontId="94" fillId="16" borderId="182">
      <alignment horizontal="right" vertical="center"/>
    </xf>
    <xf numFmtId="0" fontId="94" fillId="16" borderId="182">
      <alignment horizontal="right" vertical="center"/>
    </xf>
    <xf numFmtId="4" fontId="94" fillId="16" borderId="182">
      <alignment horizontal="right" vertical="center"/>
    </xf>
    <xf numFmtId="0" fontId="94" fillId="16" borderId="183">
      <alignment horizontal="right" vertical="center"/>
    </xf>
    <xf numFmtId="4" fontId="94" fillId="16" borderId="183">
      <alignment horizontal="right" vertical="center"/>
    </xf>
    <xf numFmtId="0" fontId="94" fillId="16" borderId="184">
      <alignment horizontal="right" vertical="center"/>
    </xf>
    <xf numFmtId="4" fontId="94" fillId="16" borderId="184">
      <alignment horizontal="right" vertical="center"/>
    </xf>
    <xf numFmtId="0" fontId="105" fillId="72" borderId="179" applyNumberFormat="0" applyAlignment="0" applyProtection="0"/>
    <xf numFmtId="0" fontId="61" fillId="16" borderId="185">
      <alignment horizontal="left" vertical="center" wrapText="1" indent="2"/>
    </xf>
    <xf numFmtId="0" fontId="61" fillId="0" borderId="185">
      <alignment horizontal="left" vertical="center" wrapText="1" indent="2"/>
    </xf>
    <xf numFmtId="0" fontId="61" fillId="49" borderId="183">
      <alignment horizontal="left" vertical="center"/>
    </xf>
    <xf numFmtId="0" fontId="117" fillId="59" borderId="179" applyNumberFormat="0" applyAlignment="0" applyProtection="0"/>
    <xf numFmtId="0" fontId="61" fillId="0" borderId="182">
      <alignment horizontal="right" vertical="center"/>
    </xf>
    <xf numFmtId="4" fontId="61" fillId="0" borderId="182">
      <alignment horizontal="right" vertical="center"/>
    </xf>
    <xf numFmtId="0" fontId="61" fillId="0" borderId="182" applyNumberFormat="0" applyFill="0" applyAlignment="0" applyProtection="0"/>
    <xf numFmtId="0" fontId="121" fillId="72" borderId="186" applyNumberFormat="0" applyAlignment="0" applyProtection="0"/>
    <xf numFmtId="182" fontId="61" fillId="76" borderId="182" applyNumberFormat="0" applyFont="0" applyBorder="0" applyAlignment="0" applyProtection="0">
      <alignment horizontal="right" vertical="center"/>
    </xf>
    <xf numFmtId="0" fontId="61" fillId="50" borderId="182"/>
    <xf numFmtId="4" fontId="61" fillId="50" borderId="182"/>
    <xf numFmtId="0" fontId="124" fillId="0" borderId="180" applyNumberFormat="0" applyFill="0" applyAlignment="0" applyProtection="0"/>
    <xf numFmtId="0" fontId="39" fillId="75" borderId="181" applyNumberFormat="0" applyFont="0" applyAlignment="0" applyProtection="0"/>
    <xf numFmtId="0" fontId="99" fillId="75" borderId="181" applyNumberFormat="0" applyFont="0" applyAlignment="0" applyProtection="0"/>
    <xf numFmtId="0" fontId="61" fillId="0" borderId="182" applyNumberFormat="0" applyFill="0" applyAlignment="0" applyProtection="0"/>
    <xf numFmtId="0" fontId="109" fillId="0" borderId="180" applyNumberFormat="0" applyFill="0" applyAlignment="0" applyProtection="0"/>
    <xf numFmtId="0" fontId="124" fillId="0" borderId="180" applyNumberFormat="0" applyFill="0" applyAlignment="0" applyProtection="0"/>
    <xf numFmtId="0" fontId="108" fillId="59" borderId="179" applyNumberFormat="0" applyAlignment="0" applyProtection="0"/>
    <xf numFmtId="0" fontId="105" fillId="72" borderId="179" applyNumberFormat="0" applyAlignment="0" applyProtection="0"/>
    <xf numFmtId="4" fontId="96" fillId="49" borderId="182">
      <alignment horizontal="right" vertical="center"/>
    </xf>
    <xf numFmtId="0" fontId="94" fillId="49" borderId="182">
      <alignment horizontal="right" vertical="center"/>
    </xf>
    <xf numFmtId="182" fontId="61" fillId="76" borderId="182" applyNumberFormat="0" applyFont="0" applyBorder="0" applyAlignment="0" applyProtection="0">
      <alignment horizontal="right" vertical="center"/>
    </xf>
    <xf numFmtId="0" fontId="109" fillId="0" borderId="180" applyNumberFormat="0" applyFill="0" applyAlignment="0" applyProtection="0"/>
    <xf numFmtId="49" fontId="61" fillId="0" borderId="182" applyNumberFormat="0" applyFont="0" applyFill="0" applyBorder="0" applyProtection="0">
      <alignment horizontal="left" vertical="center" indent="2"/>
    </xf>
    <xf numFmtId="49" fontId="61" fillId="0" borderId="183" applyNumberFormat="0" applyFont="0" applyFill="0" applyBorder="0" applyProtection="0">
      <alignment horizontal="left" vertical="center" indent="5"/>
    </xf>
    <xf numFmtId="49" fontId="61" fillId="0" borderId="182" applyNumberFormat="0" applyFont="0" applyFill="0" applyBorder="0" applyProtection="0">
      <alignment horizontal="left" vertical="center" indent="2"/>
    </xf>
    <xf numFmtId="4" fontId="61" fillId="0" borderId="182" applyFill="0" applyBorder="0" applyProtection="0">
      <alignment horizontal="right" vertical="center"/>
    </xf>
    <xf numFmtId="49" fontId="62" fillId="0" borderId="182" applyNumberFormat="0" applyFill="0" applyBorder="0" applyProtection="0">
      <alignment horizontal="left" vertical="center"/>
    </xf>
    <xf numFmtId="0" fontId="61" fillId="0" borderId="185">
      <alignment horizontal="left" vertical="center" wrapText="1" indent="2"/>
    </xf>
    <xf numFmtId="0" fontId="121" fillId="72" borderId="186" applyNumberFormat="0" applyAlignment="0" applyProtection="0"/>
    <xf numFmtId="0" fontId="94" fillId="16" borderId="184">
      <alignment horizontal="right" vertical="center"/>
    </xf>
    <xf numFmtId="0" fontId="108" fillId="59" borderId="179" applyNumberFormat="0" applyAlignment="0" applyProtection="0"/>
    <xf numFmtId="0" fontId="94" fillId="16" borderId="184">
      <alignment horizontal="right" vertical="center"/>
    </xf>
    <xf numFmtId="4" fontId="94" fillId="16" borderId="182">
      <alignment horizontal="right" vertical="center"/>
    </xf>
    <xf numFmtId="0" fontId="94" fillId="16" borderId="182">
      <alignment horizontal="right" vertical="center"/>
    </xf>
    <xf numFmtId="0" fontId="102" fillId="72" borderId="186" applyNumberFormat="0" applyAlignment="0" applyProtection="0"/>
    <xf numFmtId="0" fontId="104" fillId="72" borderId="179" applyNumberFormat="0" applyAlignment="0" applyProtection="0"/>
    <xf numFmtId="0" fontId="109" fillId="0" borderId="180" applyNumberFormat="0" applyFill="0" applyAlignment="0" applyProtection="0"/>
    <xf numFmtId="0" fontId="61" fillId="50" borderId="182"/>
    <xf numFmtId="4" fontId="61" fillId="50" borderId="182"/>
    <xf numFmtId="4" fontId="94" fillId="16" borderId="182">
      <alignment horizontal="right" vertical="center"/>
    </xf>
    <xf numFmtId="0" fontId="96" fillId="49" borderId="182">
      <alignment horizontal="right" vertical="center"/>
    </xf>
    <xf numFmtId="0" fontId="108" fillId="59" borderId="179" applyNumberFormat="0" applyAlignment="0" applyProtection="0"/>
    <xf numFmtId="0" fontId="105" fillId="72" borderId="179" applyNumberFormat="0" applyAlignment="0" applyProtection="0"/>
    <xf numFmtId="4" fontId="61" fillId="0" borderId="182">
      <alignment horizontal="right" vertical="center"/>
    </xf>
    <xf numFmtId="0" fontId="61" fillId="16" borderId="185">
      <alignment horizontal="left" vertical="center" wrapText="1" indent="2"/>
    </xf>
    <xf numFmtId="0" fontId="61" fillId="0" borderId="185">
      <alignment horizontal="left" vertical="center" wrapText="1" indent="2"/>
    </xf>
    <xf numFmtId="0" fontId="121" fillId="72" borderId="186" applyNumberFormat="0" applyAlignment="0" applyProtection="0"/>
    <xf numFmtId="0" fontId="117" fillId="59" borderId="179" applyNumberFormat="0" applyAlignment="0" applyProtection="0"/>
    <xf numFmtId="0" fontId="104" fillId="72" borderId="179" applyNumberFormat="0" applyAlignment="0" applyProtection="0"/>
    <xf numFmtId="0" fontId="102" fillId="72" borderId="186" applyNumberFormat="0" applyAlignment="0" applyProtection="0"/>
    <xf numFmtId="0" fontId="94" fillId="16" borderId="184">
      <alignment horizontal="right" vertical="center"/>
    </xf>
    <xf numFmtId="0" fontId="96" fillId="49" borderId="182">
      <alignment horizontal="right" vertical="center"/>
    </xf>
    <xf numFmtId="4" fontId="94" fillId="49" borderId="182">
      <alignment horizontal="right" vertical="center"/>
    </xf>
    <xf numFmtId="4" fontId="94" fillId="16" borderId="182">
      <alignment horizontal="right" vertical="center"/>
    </xf>
    <xf numFmtId="49" fontId="61" fillId="0" borderId="183" applyNumberFormat="0" applyFont="0" applyFill="0" applyBorder="0" applyProtection="0">
      <alignment horizontal="left" vertical="center" indent="5"/>
    </xf>
    <xf numFmtId="4" fontId="61" fillId="0" borderId="182" applyFill="0" applyBorder="0" applyProtection="0">
      <alignment horizontal="right" vertical="center"/>
    </xf>
    <xf numFmtId="4" fontId="94" fillId="49" borderId="182">
      <alignment horizontal="right" vertical="center"/>
    </xf>
    <xf numFmtId="0" fontId="117" fillId="59" borderId="179" applyNumberFormat="0" applyAlignment="0" applyProtection="0"/>
    <xf numFmtId="0" fontId="108" fillId="59" borderId="179" applyNumberFormat="0" applyAlignment="0" applyProtection="0"/>
    <xf numFmtId="0" fontId="104" fillId="72" borderId="179" applyNumberFormat="0" applyAlignment="0" applyProtection="0"/>
    <xf numFmtId="0" fontId="61" fillId="16" borderId="185">
      <alignment horizontal="left" vertical="center" wrapText="1" indent="2"/>
    </xf>
    <xf numFmtId="0" fontId="61" fillId="0" borderId="185">
      <alignment horizontal="left" vertical="center" wrapText="1" indent="2"/>
    </xf>
    <xf numFmtId="0" fontId="61" fillId="16" borderId="185">
      <alignment horizontal="left" vertical="center" wrapText="1" indent="2"/>
    </xf>
    <xf numFmtId="0" fontId="6" fillId="0" borderId="0"/>
    <xf numFmtId="9" fontId="6" fillId="0" borderId="0" applyFont="0" applyFill="0" applyBorder="0" applyAlignment="0" applyProtection="0"/>
    <xf numFmtId="0" fontId="39" fillId="0" borderId="0"/>
    <xf numFmtId="0" fontId="4" fillId="0" borderId="0"/>
    <xf numFmtId="0" fontId="145" fillId="0" borderId="0" applyBorder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145" fillId="0" borderId="0" applyNumberFormat="0" applyBorder="0" applyAlignment="0"/>
    <xf numFmtId="41" fontId="39" fillId="0" borderId="0" applyFont="0" applyFill="0" applyBorder="0" applyAlignment="0" applyProtection="0"/>
    <xf numFmtId="0" fontId="4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185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14" fontId="146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147" fillId="0" borderId="94" applyNumberFormat="0" applyAlignment="0" applyProtection="0">
      <alignment horizontal="left" vertical="center"/>
    </xf>
    <xf numFmtId="0" fontId="147" fillId="0" borderId="212">
      <alignment horizontal="left" vertical="center"/>
    </xf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4" fillId="0" borderId="0"/>
    <xf numFmtId="0" fontId="148" fillId="0" borderId="0"/>
    <xf numFmtId="0" fontId="39" fillId="0" borderId="0" applyFont="0" applyFill="0" applyBorder="0" applyAlignment="0" applyProtection="0"/>
    <xf numFmtId="186" fontId="39" fillId="0" borderId="0" applyFont="0" applyFill="0" applyBorder="0" applyAlignment="0" applyProtection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0" fontId="39" fillId="0" borderId="0" applyFill="0" applyBorder="0" applyAlignment="0"/>
    <xf numFmtId="49" fontId="146" fillId="0" borderId="0" applyFill="0" applyBorder="0" applyAlignment="0"/>
    <xf numFmtId="0" fontId="146" fillId="0" borderId="0" applyFill="0" applyBorder="0" applyAlignment="0"/>
    <xf numFmtId="187" fontId="39" fillId="0" borderId="0" applyFill="0" applyBorder="0" applyAlignment="0"/>
    <xf numFmtId="0" fontId="4" fillId="0" borderId="0"/>
    <xf numFmtId="0" fontId="39" fillId="0" borderId="0"/>
    <xf numFmtId="41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4" fillId="0" borderId="0"/>
    <xf numFmtId="0" fontId="39" fillId="0" borderId="0"/>
    <xf numFmtId="0" fontId="4" fillId="0" borderId="0"/>
    <xf numFmtId="165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  <xf numFmtId="41" fontId="39" fillId="0" borderId="0" applyFont="0" applyFill="0" applyBorder="0" applyAlignment="0" applyProtection="0"/>
    <xf numFmtId="0" fontId="4" fillId="0" borderId="0"/>
    <xf numFmtId="0" fontId="149" fillId="0" borderId="0" applyNumberFormat="0" applyFill="0" applyBorder="0" applyAlignment="0" applyProtection="0"/>
    <xf numFmtId="3" fontId="28" fillId="80" borderId="4"/>
    <xf numFmtId="43" fontId="39" fillId="0" borderId="0" applyFont="0" applyFill="0" applyBorder="0" applyAlignment="0" applyProtection="0"/>
    <xf numFmtId="9" fontId="28" fillId="81" borderId="4"/>
    <xf numFmtId="3" fontId="28" fillId="82" borderId="0"/>
    <xf numFmtId="0" fontId="4" fillId="0" borderId="0"/>
    <xf numFmtId="0" fontId="4" fillId="0" borderId="0"/>
    <xf numFmtId="41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0" borderId="0"/>
    <xf numFmtId="0" fontId="148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49" fillId="0" borderId="0" applyNumberFormat="0" applyFill="0" applyBorder="0" applyAlignment="0" applyProtection="0"/>
    <xf numFmtId="0" fontId="4" fillId="0" borderId="0"/>
    <xf numFmtId="0" fontId="4" fillId="0" borderId="0"/>
    <xf numFmtId="41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0" fontId="148" fillId="0" borderId="0"/>
    <xf numFmtId="9" fontId="39" fillId="0" borderId="0" applyFont="0" applyFill="0" applyBorder="0" applyAlignment="0" applyProtection="0"/>
    <xf numFmtId="0" fontId="4" fillId="0" borderId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5" fillId="0" borderId="0" applyBorder="0"/>
    <xf numFmtId="9" fontId="4" fillId="0" borderId="0" applyFont="0" applyFill="0" applyBorder="0" applyAlignment="0" applyProtection="0"/>
    <xf numFmtId="0" fontId="3" fillId="0" borderId="0"/>
    <xf numFmtId="0" fontId="3" fillId="86" borderId="227" applyNumberFormat="0" applyFont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278">
    <xf numFmtId="0" fontId="0" fillId="0" borderId="0" xfId="0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 wrapText="1"/>
    </xf>
    <xf numFmtId="0" fontId="12" fillId="3" borderId="1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right" vertical="center"/>
    </xf>
    <xf numFmtId="167" fontId="10" fillId="0" borderId="1" xfId="0" applyNumberFormat="1" applyFont="1" applyBorder="1" applyAlignment="1">
      <alignment horizontal="right" vertical="center"/>
    </xf>
    <xf numFmtId="9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67" fontId="21" fillId="0" borderId="0" xfId="0" applyNumberFormat="1" applyFont="1" applyAlignment="1">
      <alignment horizontal="right" vertical="center"/>
    </xf>
    <xf numFmtId="0" fontId="12" fillId="3" borderId="0" xfId="0" applyFont="1" applyFill="1" applyAlignment="1">
      <alignment vertical="center"/>
    </xf>
    <xf numFmtId="167" fontId="21" fillId="7" borderId="0" xfId="0" applyNumberFormat="1" applyFont="1" applyFill="1" applyAlignment="1">
      <alignment horizontal="right" vertical="center"/>
    </xf>
    <xf numFmtId="0" fontId="20" fillId="0" borderId="0" xfId="0" applyFont="1"/>
    <xf numFmtId="167" fontId="0" fillId="7" borderId="0" xfId="0" applyNumberFormat="1" applyFill="1" applyAlignment="1">
      <alignment vertical="center"/>
    </xf>
    <xf numFmtId="169" fontId="10" fillId="6" borderId="0" xfId="0" applyNumberFormat="1" applyFont="1" applyFill="1" applyAlignment="1">
      <alignment horizontal="right" vertical="center"/>
    </xf>
    <xf numFmtId="169" fontId="12" fillId="7" borderId="0" xfId="0" applyNumberFormat="1" applyFont="1" applyFill="1" applyAlignment="1">
      <alignment horizontal="right" vertical="center"/>
    </xf>
    <xf numFmtId="167" fontId="10" fillId="0" borderId="0" xfId="0" applyNumberFormat="1" applyFont="1" applyAlignment="1">
      <alignment horizontal="right" vertical="center"/>
    </xf>
    <xf numFmtId="0" fontId="13" fillId="4" borderId="0" xfId="0" applyFont="1" applyFill="1" applyAlignment="1">
      <alignment vertical="center" wrapText="1"/>
    </xf>
    <xf numFmtId="1" fontId="0" fillId="0" borderId="0" xfId="0" applyNumberFormat="1"/>
    <xf numFmtId="3" fontId="0" fillId="0" borderId="0" xfId="0" applyNumberFormat="1"/>
    <xf numFmtId="1" fontId="9" fillId="0" borderId="0" xfId="3" applyNumberFormat="1"/>
    <xf numFmtId="3" fontId="0" fillId="5" borderId="0" xfId="0" applyNumberFormat="1" applyFill="1"/>
    <xf numFmtId="3" fontId="20" fillId="0" borderId="0" xfId="0" applyNumberFormat="1" applyFont="1"/>
    <xf numFmtId="3" fontId="0" fillId="8" borderId="0" xfId="0" applyNumberFormat="1" applyFill="1"/>
    <xf numFmtId="0" fontId="12" fillId="3" borderId="0" xfId="0" applyFont="1" applyFill="1" applyAlignment="1">
      <alignment vertical="center" wrapText="1"/>
    </xf>
    <xf numFmtId="169" fontId="0" fillId="0" borderId="0" xfId="0" applyNumberFormat="1"/>
    <xf numFmtId="0" fontId="0" fillId="0" borderId="0" xfId="0" applyAlignment="1">
      <alignment wrapText="1"/>
    </xf>
    <xf numFmtId="10" fontId="0" fillId="0" borderId="0" xfId="2" applyNumberFormat="1" applyFont="1" applyAlignment="1"/>
    <xf numFmtId="168" fontId="0" fillId="7" borderId="0" xfId="2" applyNumberFormat="1" applyFont="1" applyFill="1" applyAlignment="1">
      <alignment vertical="center"/>
    </xf>
    <xf numFmtId="0" fontId="31" fillId="0" borderId="0" xfId="0" applyFont="1"/>
    <xf numFmtId="0" fontId="0" fillId="5" borderId="0" xfId="0" applyFill="1"/>
    <xf numFmtId="0" fontId="32" fillId="0" borderId="0" xfId="0" applyFont="1"/>
    <xf numFmtId="0" fontId="30" fillId="0" borderId="0" xfId="0" applyFont="1" applyAlignment="1">
      <alignment horizontal="center"/>
    </xf>
    <xf numFmtId="0" fontId="0" fillId="0" borderId="7" xfId="0" applyBorder="1"/>
    <xf numFmtId="0" fontId="30" fillId="0" borderId="7" xfId="0" applyFont="1" applyBorder="1"/>
    <xf numFmtId="0" fontId="30" fillId="0" borderId="0" xfId="0" applyFont="1"/>
    <xf numFmtId="0" fontId="33" fillId="0" borderId="8" xfId="0" applyFont="1" applyBorder="1"/>
    <xf numFmtId="0" fontId="33" fillId="0" borderId="0" xfId="0" applyFont="1"/>
    <xf numFmtId="170" fontId="0" fillId="0" borderId="0" xfId="0" applyNumberFormat="1"/>
    <xf numFmtId="3" fontId="33" fillId="0" borderId="0" xfId="0" applyNumberFormat="1" applyFont="1"/>
    <xf numFmtId="0" fontId="34" fillId="0" borderId="0" xfId="0" applyFont="1"/>
    <xf numFmtId="169" fontId="28" fillId="0" borderId="0" xfId="0" applyNumberFormat="1" applyFont="1"/>
    <xf numFmtId="169" fontId="20" fillId="0" borderId="0" xfId="0" applyNumberFormat="1" applyFont="1"/>
    <xf numFmtId="3" fontId="36" fillId="0" borderId="0" xfId="0" applyNumberFormat="1" applyFont="1"/>
    <xf numFmtId="0" fontId="36" fillId="0" borderId="0" xfId="0" applyFont="1"/>
    <xf numFmtId="0" fontId="30" fillId="0" borderId="9" xfId="0" applyFont="1" applyBorder="1"/>
    <xf numFmtId="0" fontId="30" fillId="0" borderId="10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30" fillId="0" borderId="12" xfId="0" applyFont="1" applyBorder="1" applyAlignment="1">
      <alignment horizontal="center"/>
    </xf>
    <xf numFmtId="0" fontId="0" fillId="0" borderId="13" xfId="0" applyBorder="1"/>
    <xf numFmtId="0" fontId="30" fillId="0" borderId="14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0" fillId="0" borderId="17" xfId="0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0" fontId="0" fillId="0" borderId="21" xfId="0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0" fontId="0" fillId="0" borderId="25" xfId="0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0" fontId="30" fillId="0" borderId="29" xfId="0" applyFont="1" applyBorder="1"/>
    <xf numFmtId="175" fontId="30" fillId="0" borderId="30" xfId="0" applyNumberFormat="1" applyFont="1" applyBorder="1"/>
    <xf numFmtId="175" fontId="30" fillId="0" borderId="31" xfId="0" applyNumberFormat="1" applyFont="1" applyBorder="1"/>
    <xf numFmtId="175" fontId="30" fillId="0" borderId="32" xfId="0" applyNumberFormat="1" applyFont="1" applyBorder="1"/>
    <xf numFmtId="0" fontId="0" fillId="0" borderId="33" xfId="0" applyBorder="1"/>
    <xf numFmtId="175" fontId="30" fillId="0" borderId="0" xfId="0" applyNumberFormat="1" applyFont="1"/>
    <xf numFmtId="173" fontId="0" fillId="0" borderId="0" xfId="0" applyNumberFormat="1"/>
    <xf numFmtId="0" fontId="0" fillId="0" borderId="34" xfId="0" applyBorder="1"/>
    <xf numFmtId="176" fontId="0" fillId="0" borderId="35" xfId="0" applyNumberFormat="1" applyBorder="1"/>
    <xf numFmtId="176" fontId="0" fillId="0" borderId="36" xfId="0" applyNumberFormat="1" applyBorder="1"/>
    <xf numFmtId="176" fontId="0" fillId="0" borderId="37" xfId="0" applyNumberFormat="1" applyBorder="1"/>
    <xf numFmtId="175" fontId="0" fillId="0" borderId="0" xfId="0" applyNumberFormat="1"/>
    <xf numFmtId="3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2" fontId="0" fillId="0" borderId="0" xfId="0" applyNumberFormat="1"/>
    <xf numFmtId="0" fontId="20" fillId="0" borderId="7" xfId="0" applyFont="1" applyBorder="1"/>
    <xf numFmtId="177" fontId="0" fillId="0" borderId="0" xfId="0" applyNumberFormat="1"/>
    <xf numFmtId="0" fontId="37" fillId="0" borderId="0" xfId="0" applyFont="1"/>
    <xf numFmtId="9" fontId="39" fillId="9" borderId="46" xfId="4" applyFont="1" applyFill="1" applyBorder="1" applyAlignment="1">
      <alignment horizontal="center" textRotation="90" wrapText="1"/>
    </xf>
    <xf numFmtId="0" fontId="39" fillId="9" borderId="49" xfId="0" applyFont="1" applyFill="1" applyBorder="1" applyAlignment="1">
      <alignment horizontal="center" textRotation="90" wrapText="1"/>
    </xf>
    <xf numFmtId="0" fontId="39" fillId="9" borderId="50" xfId="0" applyFont="1" applyFill="1" applyBorder="1" applyAlignment="1">
      <alignment horizontal="center" textRotation="90" wrapText="1"/>
    </xf>
    <xf numFmtId="0" fontId="39" fillId="9" borderId="51" xfId="0" applyFont="1" applyFill="1" applyBorder="1" applyAlignment="1">
      <alignment horizontal="center" textRotation="90" wrapText="1"/>
    </xf>
    <xf numFmtId="9" fontId="39" fillId="9" borderId="46" xfId="4" applyFont="1" applyFill="1" applyBorder="1" applyAlignment="1">
      <alignment horizontal="center" vertical="center" wrapText="1"/>
    </xf>
    <xf numFmtId="0" fontId="40" fillId="9" borderId="52" xfId="0" applyFont="1" applyFill="1" applyBorder="1" applyAlignment="1">
      <alignment horizontal="center"/>
    </xf>
    <xf numFmtId="0" fontId="40" fillId="9" borderId="6" xfId="0" applyFont="1" applyFill="1" applyBorder="1" applyAlignment="1">
      <alignment horizontal="center"/>
    </xf>
    <xf numFmtId="0" fontId="40" fillId="9" borderId="48" xfId="0" applyFont="1" applyFill="1" applyBorder="1" applyAlignment="1">
      <alignment horizontal="center"/>
    </xf>
    <xf numFmtId="0" fontId="41" fillId="10" borderId="53" xfId="0" applyFont="1" applyFill="1" applyBorder="1" applyAlignment="1">
      <alignment horizontal="left" vertical="center" wrapText="1" indent="1"/>
    </xf>
    <xf numFmtId="0" fontId="41" fillId="10" borderId="54" xfId="0" applyFont="1" applyFill="1" applyBorder="1" applyAlignment="1">
      <alignment horizontal="left" vertical="center" wrapText="1" indent="1"/>
    </xf>
    <xf numFmtId="0" fontId="41" fillId="10" borderId="55" xfId="0" applyFont="1" applyFill="1" applyBorder="1" applyAlignment="1">
      <alignment horizontal="left" vertical="center" wrapText="1" indent="1"/>
    </xf>
    <xf numFmtId="2" fontId="42" fillId="9" borderId="56" xfId="0" applyNumberFormat="1" applyFont="1" applyFill="1" applyBorder="1" applyAlignment="1">
      <alignment horizontal="right"/>
    </xf>
    <xf numFmtId="2" fontId="42" fillId="9" borderId="0" xfId="0" applyNumberFormat="1" applyFont="1" applyFill="1" applyAlignment="1">
      <alignment horizontal="right"/>
    </xf>
    <xf numFmtId="2" fontId="42" fillId="9" borderId="57" xfId="0" applyNumberFormat="1" applyFont="1" applyFill="1" applyBorder="1" applyAlignment="1">
      <alignment horizontal="right"/>
    </xf>
    <xf numFmtId="2" fontId="42" fillId="9" borderId="58" xfId="4" applyNumberFormat="1" applyFont="1" applyFill="1" applyBorder="1" applyAlignment="1">
      <alignment horizontal="center" vertical="center" wrapText="1"/>
    </xf>
    <xf numFmtId="0" fontId="39" fillId="9" borderId="25" xfId="0" applyFont="1" applyFill="1" applyBorder="1"/>
    <xf numFmtId="9" fontId="39" fillId="9" borderId="46" xfId="4" applyFont="1" applyFill="1" applyBorder="1" applyAlignment="1">
      <alignment horizontal="center" wrapText="1"/>
    </xf>
    <xf numFmtId="9" fontId="39" fillId="9" borderId="47" xfId="4" applyFont="1" applyFill="1" applyBorder="1" applyAlignment="1">
      <alignment horizontal="center" wrapText="1"/>
    </xf>
    <xf numFmtId="0" fontId="39" fillId="9" borderId="62" xfId="0" applyFont="1" applyFill="1" applyBorder="1"/>
    <xf numFmtId="0" fontId="44" fillId="13" borderId="65" xfId="0" applyFont="1" applyFill="1" applyBorder="1" applyAlignment="1">
      <alignment horizontal="left" vertical="top" wrapText="1" indent="1"/>
    </xf>
    <xf numFmtId="3" fontId="44" fillId="13" borderId="66" xfId="0" applyNumberFormat="1" applyFont="1" applyFill="1" applyBorder="1" applyAlignment="1">
      <alignment horizontal="left" vertical="top" wrapText="1" indent="1"/>
    </xf>
    <xf numFmtId="9" fontId="44" fillId="13" borderId="66" xfId="0" applyNumberFormat="1" applyFont="1" applyFill="1" applyBorder="1" applyAlignment="1">
      <alignment horizontal="left" vertical="top" wrapText="1" indent="1"/>
    </xf>
    <xf numFmtId="0" fontId="44" fillId="13" borderId="66" xfId="0" applyFont="1" applyFill="1" applyBorder="1" applyAlignment="1">
      <alignment horizontal="left" vertical="top" wrapText="1" indent="1"/>
    </xf>
    <xf numFmtId="3" fontId="44" fillId="13" borderId="67" xfId="0" applyNumberFormat="1" applyFont="1" applyFill="1" applyBorder="1" applyAlignment="1">
      <alignment horizontal="left" vertical="top" wrapText="1" indent="1"/>
    </xf>
    <xf numFmtId="10" fontId="0" fillId="0" borderId="0" xfId="2" applyNumberFormat="1" applyFont="1"/>
    <xf numFmtId="166" fontId="0" fillId="0" borderId="0" xfId="13" applyFont="1"/>
    <xf numFmtId="168" fontId="0" fillId="0" borderId="0" xfId="2" applyNumberFormat="1" applyFont="1"/>
    <xf numFmtId="0" fontId="42" fillId="11" borderId="68" xfId="0" applyFont="1" applyFill="1" applyBorder="1" applyAlignment="1">
      <alignment horizontal="center"/>
    </xf>
    <xf numFmtId="0" fontId="42" fillId="11" borderId="5" xfId="0" applyFont="1" applyFill="1" applyBorder="1" applyAlignment="1">
      <alignment horizontal="center"/>
    </xf>
    <xf numFmtId="0" fontId="39" fillId="9" borderId="69" xfId="0" applyFont="1" applyFill="1" applyBorder="1" applyAlignment="1">
      <alignment horizontal="center"/>
    </xf>
    <xf numFmtId="0" fontId="39" fillId="9" borderId="13" xfId="0" applyFont="1" applyFill="1" applyBorder="1"/>
    <xf numFmtId="0" fontId="42" fillId="9" borderId="70" xfId="0" applyFont="1" applyFill="1" applyBorder="1" applyAlignment="1">
      <alignment horizontal="right"/>
    </xf>
    <xf numFmtId="0" fontId="42" fillId="9" borderId="15" xfId="0" applyFont="1" applyFill="1" applyBorder="1" applyAlignment="1">
      <alignment horizontal="right"/>
    </xf>
    <xf numFmtId="0" fontId="42" fillId="9" borderId="71" xfId="0" applyFont="1" applyFill="1" applyBorder="1" applyAlignment="1">
      <alignment horizontal="right"/>
    </xf>
    <xf numFmtId="0" fontId="39" fillId="9" borderId="72" xfId="0" applyFont="1" applyFill="1" applyBorder="1" applyAlignment="1">
      <alignment horizontal="center"/>
    </xf>
    <xf numFmtId="9" fontId="39" fillId="9" borderId="3" xfId="4" applyFont="1" applyFill="1" applyBorder="1" applyAlignment="1">
      <alignment horizontal="center" wrapText="1"/>
    </xf>
    <xf numFmtId="0" fontId="44" fillId="12" borderId="65" xfId="0" applyFont="1" applyFill="1" applyBorder="1" applyAlignment="1">
      <alignment horizontal="left" vertical="top" wrapText="1" indent="1"/>
    </xf>
    <xf numFmtId="0" fontId="44" fillId="12" borderId="66" xfId="0" applyFont="1" applyFill="1" applyBorder="1" applyAlignment="1">
      <alignment horizontal="left" vertical="top" wrapText="1" indent="1"/>
    </xf>
    <xf numFmtId="9" fontId="44" fillId="12" borderId="66" xfId="0" applyNumberFormat="1" applyFont="1" applyFill="1" applyBorder="1" applyAlignment="1">
      <alignment horizontal="left" vertical="top" wrapText="1" indent="1"/>
    </xf>
    <xf numFmtId="3" fontId="44" fillId="12" borderId="67" xfId="0" applyNumberFormat="1" applyFont="1" applyFill="1" applyBorder="1" applyAlignment="1">
      <alignment horizontal="left" vertical="top" wrapText="1" indent="1"/>
    </xf>
    <xf numFmtId="0" fontId="39" fillId="0" borderId="74" xfId="0" applyFont="1" applyBorder="1"/>
    <xf numFmtId="3" fontId="39" fillId="9" borderId="75" xfId="0" applyNumberFormat="1" applyFont="1" applyFill="1" applyBorder="1"/>
    <xf numFmtId="3" fontId="39" fillId="9" borderId="76" xfId="0" applyNumberFormat="1" applyFont="1" applyFill="1" applyBorder="1"/>
    <xf numFmtId="3" fontId="39" fillId="9" borderId="74" xfId="0" applyNumberFormat="1" applyFont="1" applyFill="1" applyBorder="1"/>
    <xf numFmtId="3" fontId="39" fillId="9" borderId="77" xfId="0" applyNumberFormat="1" applyFont="1" applyFill="1" applyBorder="1"/>
    <xf numFmtId="3" fontId="39" fillId="9" borderId="78" xfId="0" applyNumberFormat="1" applyFont="1" applyFill="1" applyBorder="1"/>
    <xf numFmtId="0" fontId="39" fillId="9" borderId="25" xfId="0" applyFont="1" applyFill="1" applyBorder="1" applyAlignment="1">
      <alignment horizontal="left"/>
    </xf>
    <xf numFmtId="0" fontId="39" fillId="9" borderId="0" xfId="0" applyFont="1" applyFill="1" applyAlignment="1">
      <alignment horizontal="center"/>
    </xf>
    <xf numFmtId="178" fontId="39" fillId="9" borderId="0" xfId="0" applyNumberFormat="1" applyFont="1" applyFill="1"/>
    <xf numFmtId="3" fontId="39" fillId="9" borderId="45" xfId="0" applyNumberFormat="1" applyFont="1" applyFill="1" applyBorder="1"/>
    <xf numFmtId="10" fontId="0" fillId="0" borderId="0" xfId="0" applyNumberFormat="1"/>
    <xf numFmtId="0" fontId="39" fillId="0" borderId="79" xfId="0" applyFont="1" applyBorder="1"/>
    <xf numFmtId="3" fontId="39" fillId="9" borderId="80" xfId="0" applyNumberFormat="1" applyFont="1" applyFill="1" applyBorder="1"/>
    <xf numFmtId="3" fontId="39" fillId="9" borderId="81" xfId="0" applyNumberFormat="1" applyFont="1" applyFill="1" applyBorder="1"/>
    <xf numFmtId="3" fontId="39" fillId="9" borderId="79" xfId="0" applyNumberFormat="1" applyFont="1" applyFill="1" applyBorder="1"/>
    <xf numFmtId="3" fontId="39" fillId="9" borderId="82" xfId="0" applyNumberFormat="1" applyFont="1" applyFill="1" applyBorder="1"/>
    <xf numFmtId="3" fontId="39" fillId="9" borderId="83" xfId="0" applyNumberFormat="1" applyFont="1" applyFill="1" applyBorder="1"/>
    <xf numFmtId="168" fontId="42" fillId="9" borderId="0" xfId="4" applyNumberFormat="1" applyFont="1" applyFill="1" applyBorder="1" applyAlignment="1">
      <alignment horizontal="right"/>
    </xf>
    <xf numFmtId="0" fontId="39" fillId="9" borderId="45" xfId="0" applyFont="1" applyFill="1" applyBorder="1" applyAlignment="1">
      <alignment horizontal="center"/>
    </xf>
    <xf numFmtId="3" fontId="44" fillId="12" borderId="66" xfId="0" applyNumberFormat="1" applyFont="1" applyFill="1" applyBorder="1" applyAlignment="1">
      <alignment horizontal="left" vertical="top" wrapText="1" indent="1"/>
    </xf>
    <xf numFmtId="0" fontId="39" fillId="9" borderId="25" xfId="0" applyFont="1" applyFill="1" applyBorder="1" applyAlignment="1">
      <alignment horizontal="center"/>
    </xf>
    <xf numFmtId="0" fontId="44" fillId="13" borderId="67" xfId="0" applyFont="1" applyFill="1" applyBorder="1" applyAlignment="1">
      <alignment horizontal="left" vertical="top" wrapText="1" indent="1"/>
    </xf>
    <xf numFmtId="0" fontId="44" fillId="12" borderId="67" xfId="0" applyFont="1" applyFill="1" applyBorder="1" applyAlignment="1">
      <alignment horizontal="left" vertical="top" wrapText="1" indent="1"/>
    </xf>
    <xf numFmtId="168" fontId="0" fillId="0" borderId="0" xfId="0" applyNumberFormat="1"/>
    <xf numFmtId="0" fontId="39" fillId="9" borderId="0" xfId="0" applyFont="1" applyFill="1"/>
    <xf numFmtId="0" fontId="39" fillId="9" borderId="45" xfId="0" applyFont="1" applyFill="1" applyBorder="1"/>
    <xf numFmtId="0" fontId="39" fillId="0" borderId="87" xfId="0" applyFont="1" applyBorder="1"/>
    <xf numFmtId="3" fontId="39" fillId="9" borderId="88" xfId="0" applyNumberFormat="1" applyFont="1" applyFill="1" applyBorder="1"/>
    <xf numFmtId="3" fontId="39" fillId="9" borderId="89" xfId="0" applyNumberFormat="1" applyFont="1" applyFill="1" applyBorder="1"/>
    <xf numFmtId="3" fontId="39" fillId="9" borderId="90" xfId="0" applyNumberFormat="1" applyFont="1" applyFill="1" applyBorder="1"/>
    <xf numFmtId="3" fontId="39" fillId="9" borderId="91" xfId="0" applyNumberFormat="1" applyFont="1" applyFill="1" applyBorder="1"/>
    <xf numFmtId="0" fontId="39" fillId="14" borderId="92" xfId="0" applyFont="1" applyFill="1" applyBorder="1"/>
    <xf numFmtId="0" fontId="39" fillId="14" borderId="93" xfId="0" applyFont="1" applyFill="1" applyBorder="1"/>
    <xf numFmtId="3" fontId="39" fillId="14" borderId="31" xfId="0" applyNumberFormat="1" applyFont="1" applyFill="1" applyBorder="1" applyAlignment="1">
      <alignment vertical="center"/>
    </xf>
    <xf numFmtId="3" fontId="39" fillId="14" borderId="94" xfId="0" applyNumberFormat="1" applyFont="1" applyFill="1" applyBorder="1" applyAlignment="1">
      <alignment vertical="center"/>
    </xf>
    <xf numFmtId="3" fontId="39" fillId="9" borderId="13" xfId="0" applyNumberFormat="1" applyFont="1" applyFill="1" applyBorder="1"/>
    <xf numFmtId="0" fontId="39" fillId="9" borderId="38" xfId="0" applyFont="1" applyFill="1" applyBorder="1"/>
    <xf numFmtId="0" fontId="39" fillId="9" borderId="64" xfId="0" applyFont="1" applyFill="1" applyBorder="1"/>
    <xf numFmtId="0" fontId="39" fillId="0" borderId="95" xfId="0" applyFont="1" applyBorder="1"/>
    <xf numFmtId="168" fontId="39" fillId="9" borderId="96" xfId="4" applyNumberFormat="1" applyFont="1" applyFill="1" applyBorder="1"/>
    <xf numFmtId="168" fontId="39" fillId="9" borderId="95" xfId="4" applyNumberFormat="1" applyFont="1" applyFill="1" applyBorder="1"/>
    <xf numFmtId="168" fontId="39" fillId="9" borderId="78" xfId="4" applyNumberFormat="1" applyFont="1" applyFill="1" applyBorder="1"/>
    <xf numFmtId="168" fontId="39" fillId="9" borderId="97" xfId="4" applyNumberFormat="1" applyFont="1" applyFill="1" applyBorder="1"/>
    <xf numFmtId="168" fontId="39" fillId="9" borderId="98" xfId="4" applyNumberFormat="1" applyFont="1" applyFill="1" applyBorder="1"/>
    <xf numFmtId="168" fontId="39" fillId="9" borderId="99" xfId="4" applyNumberFormat="1" applyFont="1" applyFill="1" applyBorder="1"/>
    <xf numFmtId="168" fontId="39" fillId="9" borderId="79" xfId="4" applyNumberFormat="1" applyFont="1" applyFill="1" applyBorder="1"/>
    <xf numFmtId="168" fontId="39" fillId="9" borderId="83" xfId="4" applyNumberFormat="1" applyFont="1" applyFill="1" applyBorder="1"/>
    <xf numFmtId="168" fontId="39" fillId="9" borderId="82" xfId="4" applyNumberFormat="1" applyFont="1" applyFill="1" applyBorder="1"/>
    <xf numFmtId="168" fontId="39" fillId="9" borderId="100" xfId="4" applyNumberFormat="1" applyFont="1" applyFill="1" applyBorder="1"/>
    <xf numFmtId="0" fontId="44" fillId="12" borderId="101" xfId="0" applyFont="1" applyFill="1" applyBorder="1" applyAlignment="1">
      <alignment horizontal="left" vertical="top" wrapText="1" indent="1"/>
    </xf>
    <xf numFmtId="3" fontId="44" fillId="12" borderId="102" xfId="0" applyNumberFormat="1" applyFont="1" applyFill="1" applyBorder="1" applyAlignment="1">
      <alignment horizontal="left" vertical="top" wrapText="1" indent="1"/>
    </xf>
    <xf numFmtId="9" fontId="44" fillId="12" borderId="102" xfId="0" applyNumberFormat="1" applyFont="1" applyFill="1" applyBorder="1" applyAlignment="1">
      <alignment horizontal="left" vertical="top" wrapText="1" indent="1"/>
    </xf>
    <xf numFmtId="0" fontId="44" fillId="12" borderId="102" xfId="0" applyFont="1" applyFill="1" applyBorder="1" applyAlignment="1">
      <alignment horizontal="left" vertical="top" wrapText="1" indent="1"/>
    </xf>
    <xf numFmtId="3" fontId="44" fillId="12" borderId="103" xfId="0" applyNumberFormat="1" applyFont="1" applyFill="1" applyBorder="1" applyAlignment="1">
      <alignment horizontal="left" vertical="top" wrapText="1" indent="1"/>
    </xf>
    <xf numFmtId="171" fontId="0" fillId="0" borderId="0" xfId="2" applyNumberFormat="1" applyFont="1"/>
    <xf numFmtId="0" fontId="39" fillId="11" borderId="79" xfId="0" applyFont="1" applyFill="1" applyBorder="1"/>
    <xf numFmtId="0" fontId="39" fillId="0" borderId="104" xfId="0" applyFont="1" applyBorder="1"/>
    <xf numFmtId="168" fontId="39" fillId="9" borderId="105" xfId="4" applyNumberFormat="1" applyFont="1" applyFill="1" applyBorder="1"/>
    <xf numFmtId="168" fontId="39" fillId="9" borderId="106" xfId="4" applyNumberFormat="1" applyFont="1" applyFill="1" applyBorder="1"/>
    <xf numFmtId="168" fontId="39" fillId="9" borderId="107" xfId="4" applyNumberFormat="1" applyFont="1" applyFill="1" applyBorder="1"/>
    <xf numFmtId="168" fontId="39" fillId="9" borderId="108" xfId="4" applyNumberFormat="1" applyFont="1" applyFill="1" applyBorder="1"/>
    <xf numFmtId="168" fontId="39" fillId="9" borderId="109" xfId="4" applyNumberFormat="1" applyFont="1" applyFill="1" applyBorder="1"/>
    <xf numFmtId="1" fontId="48" fillId="15" borderId="110" xfId="14" applyNumberFormat="1" applyFont="1" applyFill="1" applyBorder="1" applyAlignment="1">
      <alignment horizontal="center" vertical="center"/>
    </xf>
    <xf numFmtId="0" fontId="39" fillId="14" borderId="92" xfId="0" applyFont="1" applyFill="1" applyBorder="1" applyAlignment="1">
      <alignment vertical="center"/>
    </xf>
    <xf numFmtId="0" fontId="39" fillId="14" borderId="93" xfId="0" applyFont="1" applyFill="1" applyBorder="1" applyAlignment="1">
      <alignment vertical="center"/>
    </xf>
    <xf numFmtId="168" fontId="39" fillId="14" borderId="93" xfId="4" applyNumberFormat="1" applyFont="1" applyFill="1" applyBorder="1" applyAlignment="1">
      <alignment vertical="center"/>
    </xf>
    <xf numFmtId="168" fontId="39" fillId="14" borderId="94" xfId="4" applyNumberFormat="1" applyFont="1" applyFill="1" applyBorder="1" applyAlignment="1">
      <alignment vertical="center"/>
    </xf>
    <xf numFmtId="168" fontId="39" fillId="14" borderId="112" xfId="4" applyNumberFormat="1" applyFont="1" applyFill="1" applyBorder="1" applyAlignment="1">
      <alignment vertical="center"/>
    </xf>
    <xf numFmtId="0" fontId="25" fillId="0" borderId="0" xfId="6"/>
    <xf numFmtId="0" fontId="9" fillId="0" borderId="0" xfId="3"/>
    <xf numFmtId="0" fontId="39" fillId="0" borderId="107" xfId="0" applyFont="1" applyBorder="1"/>
    <xf numFmtId="168" fontId="39" fillId="9" borderId="114" xfId="4" applyNumberFormat="1" applyFont="1" applyFill="1" applyBorder="1"/>
    <xf numFmtId="168" fontId="39" fillId="9" borderId="90" xfId="4" applyNumberFormat="1" applyFont="1" applyFill="1" applyBorder="1"/>
    <xf numFmtId="168" fontId="39" fillId="9" borderId="104" xfId="4" applyNumberFormat="1" applyFont="1" applyFill="1" applyBorder="1"/>
    <xf numFmtId="168" fontId="39" fillId="9" borderId="115" xfId="4" applyNumberFormat="1" applyFont="1" applyFill="1" applyBorder="1"/>
    <xf numFmtId="0" fontId="39" fillId="0" borderId="90" xfId="0" applyFont="1" applyBorder="1"/>
    <xf numFmtId="9" fontId="0" fillId="0" borderId="0" xfId="0" applyNumberFormat="1"/>
    <xf numFmtId="0" fontId="39" fillId="0" borderId="116" xfId="0" applyFont="1" applyBorder="1"/>
    <xf numFmtId="168" fontId="39" fillId="9" borderId="117" xfId="4" applyNumberFormat="1" applyFont="1" applyFill="1" applyBorder="1"/>
    <xf numFmtId="168" fontId="39" fillId="9" borderId="74" xfId="4" applyNumberFormat="1" applyFont="1" applyFill="1" applyBorder="1"/>
    <xf numFmtId="168" fontId="39" fillId="9" borderId="118" xfId="4" applyNumberFormat="1" applyFont="1" applyFill="1" applyBorder="1"/>
    <xf numFmtId="168" fontId="39" fillId="9" borderId="119" xfId="4" applyNumberFormat="1" applyFont="1" applyFill="1" applyBorder="1"/>
    <xf numFmtId="0" fontId="39" fillId="0" borderId="120" xfId="0" applyFont="1" applyBorder="1"/>
    <xf numFmtId="168" fontId="39" fillId="9" borderId="75" xfId="4" applyNumberFormat="1" applyFont="1" applyFill="1" applyBorder="1"/>
    <xf numFmtId="168" fontId="39" fillId="9" borderId="80" xfId="4" applyNumberFormat="1" applyFont="1" applyFill="1" applyBorder="1"/>
    <xf numFmtId="3" fontId="39" fillId="9" borderId="121" xfId="0" applyNumberFormat="1" applyFont="1" applyFill="1" applyBorder="1"/>
    <xf numFmtId="3" fontId="39" fillId="9" borderId="122" xfId="0" applyNumberFormat="1" applyFont="1" applyFill="1" applyBorder="1"/>
    <xf numFmtId="3" fontId="39" fillId="9" borderId="106" xfId="0" applyNumberFormat="1" applyFont="1" applyFill="1" applyBorder="1"/>
    <xf numFmtId="168" fontId="39" fillId="14" borderId="92" xfId="4" applyNumberFormat="1" applyFont="1" applyFill="1" applyBorder="1" applyAlignment="1">
      <alignment vertical="center"/>
    </xf>
    <xf numFmtId="0" fontId="39" fillId="0" borderId="95" xfId="0" applyFont="1" applyBorder="1" applyAlignment="1">
      <alignment vertical="top"/>
    </xf>
    <xf numFmtId="3" fontId="39" fillId="9" borderId="121" xfId="0" applyNumberFormat="1" applyFont="1" applyFill="1" applyBorder="1" applyAlignment="1">
      <alignment vertical="top"/>
    </xf>
    <xf numFmtId="3" fontId="39" fillId="9" borderId="122" xfId="0" applyNumberFormat="1" applyFont="1" applyFill="1" applyBorder="1" applyAlignment="1">
      <alignment vertical="top"/>
    </xf>
    <xf numFmtId="3" fontId="39" fillId="9" borderId="106" xfId="0" applyNumberFormat="1" applyFont="1" applyFill="1" applyBorder="1" applyAlignment="1">
      <alignment vertical="top"/>
    </xf>
    <xf numFmtId="168" fontId="39" fillId="9" borderId="75" xfId="4" applyNumberFormat="1" applyFont="1" applyFill="1" applyBorder="1" applyAlignment="1">
      <alignment vertical="top"/>
    </xf>
    <xf numFmtId="168" fontId="39" fillId="9" borderId="117" xfId="4" applyNumberFormat="1" applyFont="1" applyFill="1" applyBorder="1" applyAlignment="1">
      <alignment vertical="top"/>
    </xf>
    <xf numFmtId="168" fontId="39" fillId="9" borderId="123" xfId="4" applyNumberFormat="1" applyFont="1" applyFill="1" applyBorder="1" applyAlignment="1">
      <alignment vertical="top"/>
    </xf>
    <xf numFmtId="168" fontId="39" fillId="9" borderId="77" xfId="4" applyNumberFormat="1" applyFont="1" applyFill="1" applyBorder="1" applyAlignment="1">
      <alignment vertical="top"/>
    </xf>
    <xf numFmtId="168" fontId="39" fillId="9" borderId="119" xfId="4" applyNumberFormat="1" applyFont="1" applyFill="1" applyBorder="1" applyAlignment="1">
      <alignment vertical="top"/>
    </xf>
    <xf numFmtId="0" fontId="39" fillId="0" borderId="79" xfId="0" applyFont="1" applyBorder="1" applyAlignment="1">
      <alignment vertical="top"/>
    </xf>
    <xf numFmtId="168" fontId="39" fillId="9" borderId="80" xfId="4" applyNumberFormat="1" applyFont="1" applyFill="1" applyBorder="1" applyAlignment="1">
      <alignment vertical="top"/>
    </xf>
    <xf numFmtId="168" fontId="39" fillId="9" borderId="99" xfId="4" applyNumberFormat="1" applyFont="1" applyFill="1" applyBorder="1" applyAlignment="1">
      <alignment vertical="top"/>
    </xf>
    <xf numFmtId="168" fontId="39" fillId="9" borderId="124" xfId="4" applyNumberFormat="1" applyFont="1" applyFill="1" applyBorder="1" applyAlignment="1">
      <alignment vertical="top"/>
    </xf>
    <xf numFmtId="168" fontId="39" fillId="9" borderId="82" xfId="4" applyNumberFormat="1" applyFont="1" applyFill="1" applyBorder="1" applyAlignment="1">
      <alignment vertical="top"/>
    </xf>
    <xf numFmtId="168" fontId="39" fillId="9" borderId="100" xfId="4" applyNumberFormat="1" applyFont="1" applyFill="1" applyBorder="1" applyAlignment="1">
      <alignment vertical="top"/>
    </xf>
    <xf numFmtId="3" fontId="20" fillId="9" borderId="121" xfId="0" applyNumberFormat="1" applyFont="1" applyFill="1" applyBorder="1" applyAlignment="1">
      <alignment vertical="top"/>
    </xf>
    <xf numFmtId="3" fontId="20" fillId="9" borderId="122" xfId="0" applyNumberFormat="1" applyFont="1" applyFill="1" applyBorder="1" applyAlignment="1">
      <alignment vertical="top"/>
    </xf>
    <xf numFmtId="3" fontId="20" fillId="9" borderId="106" xfId="0" applyNumberFormat="1" applyFont="1" applyFill="1" applyBorder="1" applyAlignment="1">
      <alignment vertical="top"/>
    </xf>
    <xf numFmtId="168" fontId="20" fillId="9" borderId="80" xfId="4" applyNumberFormat="1" applyFont="1" applyFill="1" applyBorder="1" applyAlignment="1">
      <alignment vertical="top"/>
    </xf>
    <xf numFmtId="168" fontId="20" fillId="9" borderId="99" xfId="4" applyNumberFormat="1" applyFont="1" applyFill="1" applyBorder="1" applyAlignment="1">
      <alignment vertical="top"/>
    </xf>
    <xf numFmtId="168" fontId="20" fillId="9" borderId="124" xfId="4" applyNumberFormat="1" applyFont="1" applyFill="1" applyBorder="1" applyAlignment="1">
      <alignment vertical="top"/>
    </xf>
    <xf numFmtId="168" fontId="20" fillId="9" borderId="82" xfId="4" applyNumberFormat="1" applyFont="1" applyFill="1" applyBorder="1" applyAlignment="1">
      <alignment vertical="top"/>
    </xf>
    <xf numFmtId="168" fontId="20" fillId="9" borderId="100" xfId="4" applyNumberFormat="1" applyFont="1" applyFill="1" applyBorder="1" applyAlignment="1">
      <alignment vertical="top"/>
    </xf>
    <xf numFmtId="3" fontId="50" fillId="9" borderId="121" xfId="0" applyNumberFormat="1" applyFont="1" applyFill="1" applyBorder="1" applyAlignment="1">
      <alignment vertical="top"/>
    </xf>
    <xf numFmtId="3" fontId="50" fillId="9" borderId="122" xfId="0" applyNumberFormat="1" applyFont="1" applyFill="1" applyBorder="1" applyAlignment="1">
      <alignment vertical="top"/>
    </xf>
    <xf numFmtId="3" fontId="50" fillId="9" borderId="106" xfId="0" applyNumberFormat="1" applyFont="1" applyFill="1" applyBorder="1" applyAlignment="1">
      <alignment vertical="top"/>
    </xf>
    <xf numFmtId="168" fontId="39" fillId="9" borderId="88" xfId="4" applyNumberFormat="1" applyFont="1" applyFill="1" applyBorder="1" applyAlignment="1">
      <alignment vertical="top"/>
    </xf>
    <xf numFmtId="168" fontId="39" fillId="9" borderId="114" xfId="4" applyNumberFormat="1" applyFont="1" applyFill="1" applyBorder="1" applyAlignment="1">
      <alignment vertical="top"/>
    </xf>
    <xf numFmtId="168" fontId="39" fillId="9" borderId="125" xfId="4" applyNumberFormat="1" applyFont="1" applyFill="1" applyBorder="1" applyAlignment="1">
      <alignment vertical="top"/>
    </xf>
    <xf numFmtId="168" fontId="39" fillId="9" borderId="91" xfId="4" applyNumberFormat="1" applyFont="1" applyFill="1" applyBorder="1" applyAlignment="1">
      <alignment vertical="top"/>
    </xf>
    <xf numFmtId="168" fontId="39" fillId="9" borderId="115" xfId="4" applyNumberFormat="1" applyFont="1" applyFill="1" applyBorder="1" applyAlignment="1">
      <alignment vertical="top"/>
    </xf>
    <xf numFmtId="3" fontId="53" fillId="9" borderId="121" xfId="0" applyNumberFormat="1" applyFont="1" applyFill="1" applyBorder="1" applyAlignment="1">
      <alignment vertical="top"/>
    </xf>
    <xf numFmtId="168" fontId="53" fillId="9" borderId="80" xfId="4" applyNumberFormat="1" applyFont="1" applyFill="1" applyBorder="1" applyAlignment="1">
      <alignment vertical="top"/>
    </xf>
    <xf numFmtId="168" fontId="50" fillId="9" borderId="124" xfId="4" applyNumberFormat="1" applyFont="1" applyFill="1" applyBorder="1" applyAlignment="1">
      <alignment vertical="top"/>
    </xf>
    <xf numFmtId="168" fontId="50" fillId="9" borderId="82" xfId="4" applyNumberFormat="1" applyFont="1" applyFill="1" applyBorder="1" applyAlignment="1">
      <alignment vertical="top"/>
    </xf>
    <xf numFmtId="168" fontId="50" fillId="9" borderId="100" xfId="4" applyNumberFormat="1" applyFont="1" applyFill="1" applyBorder="1" applyAlignment="1">
      <alignment vertical="top"/>
    </xf>
    <xf numFmtId="168" fontId="50" fillId="14" borderId="93" xfId="4" applyNumberFormat="1" applyFont="1" applyFill="1" applyBorder="1" applyAlignment="1">
      <alignment vertical="center"/>
    </xf>
    <xf numFmtId="3" fontId="39" fillId="9" borderId="121" xfId="0" applyNumberFormat="1" applyFont="1" applyFill="1" applyBorder="1" applyAlignment="1">
      <alignment vertical="center"/>
    </xf>
    <xf numFmtId="3" fontId="39" fillId="9" borderId="122" xfId="0" applyNumberFormat="1" applyFont="1" applyFill="1" applyBorder="1" applyAlignment="1">
      <alignment vertical="center"/>
    </xf>
    <xf numFmtId="3" fontId="39" fillId="9" borderId="106" xfId="0" applyNumberFormat="1" applyFont="1" applyFill="1" applyBorder="1" applyAlignment="1">
      <alignment vertical="center"/>
    </xf>
    <xf numFmtId="3" fontId="39" fillId="9" borderId="77" xfId="0" applyNumberFormat="1" applyFont="1" applyFill="1" applyBorder="1" applyAlignment="1">
      <alignment vertical="center"/>
    </xf>
    <xf numFmtId="3" fontId="39" fillId="9" borderId="78" xfId="0" applyNumberFormat="1" applyFont="1" applyFill="1" applyBorder="1" applyAlignment="1">
      <alignment vertical="center"/>
    </xf>
    <xf numFmtId="168" fontId="39" fillId="9" borderId="75" xfId="4" applyNumberFormat="1" applyFont="1" applyFill="1" applyBorder="1" applyAlignment="1">
      <alignment vertical="center"/>
    </xf>
    <xf numFmtId="168" fontId="39" fillId="9" borderId="117" xfId="4" applyNumberFormat="1" applyFont="1" applyFill="1" applyBorder="1" applyAlignment="1">
      <alignment vertical="center"/>
    </xf>
    <xf numFmtId="168" fontId="39" fillId="9" borderId="123" xfId="4" applyNumberFormat="1" applyFont="1" applyFill="1" applyBorder="1" applyAlignment="1">
      <alignment vertical="center"/>
    </xf>
    <xf numFmtId="168" fontId="39" fillId="9" borderId="77" xfId="4" applyNumberFormat="1" applyFont="1" applyFill="1" applyBorder="1" applyAlignment="1">
      <alignment vertical="center"/>
    </xf>
    <xf numFmtId="168" fontId="39" fillId="9" borderId="119" xfId="4" applyNumberFormat="1" applyFont="1" applyFill="1" applyBorder="1" applyAlignment="1">
      <alignment vertical="center"/>
    </xf>
    <xf numFmtId="3" fontId="39" fillId="9" borderId="82" xfId="0" applyNumberFormat="1" applyFont="1" applyFill="1" applyBorder="1" applyAlignment="1">
      <alignment vertical="center"/>
    </xf>
    <xf numFmtId="3" fontId="39" fillId="9" borderId="83" xfId="0" applyNumberFormat="1" applyFont="1" applyFill="1" applyBorder="1" applyAlignment="1">
      <alignment vertical="center"/>
    </xf>
    <xf numFmtId="168" fontId="39" fillId="9" borderId="80" xfId="4" applyNumberFormat="1" applyFont="1" applyFill="1" applyBorder="1" applyAlignment="1">
      <alignment vertical="center"/>
    </xf>
    <xf numFmtId="168" fontId="39" fillId="9" borderId="99" xfId="4" applyNumberFormat="1" applyFont="1" applyFill="1" applyBorder="1" applyAlignment="1">
      <alignment vertical="center"/>
    </xf>
    <xf numFmtId="168" fontId="39" fillId="9" borderId="124" xfId="4" applyNumberFormat="1" applyFont="1" applyFill="1" applyBorder="1" applyAlignment="1">
      <alignment vertical="center"/>
    </xf>
    <xf numFmtId="168" fontId="39" fillId="9" borderId="82" xfId="4" applyNumberFormat="1" applyFont="1" applyFill="1" applyBorder="1" applyAlignment="1">
      <alignment vertical="center"/>
    </xf>
    <xf numFmtId="168" fontId="39" fillId="9" borderId="100" xfId="4" applyNumberFormat="1" applyFont="1" applyFill="1" applyBorder="1" applyAlignment="1">
      <alignment vertical="center"/>
    </xf>
    <xf numFmtId="168" fontId="50" fillId="9" borderId="80" xfId="4" applyNumberFormat="1" applyFont="1" applyFill="1" applyBorder="1" applyAlignment="1">
      <alignment vertical="center"/>
    </xf>
    <xf numFmtId="168" fontId="50" fillId="9" borderId="88" xfId="4" applyNumberFormat="1" applyFont="1" applyFill="1" applyBorder="1" applyAlignment="1">
      <alignment vertical="center"/>
    </xf>
    <xf numFmtId="168" fontId="39" fillId="9" borderId="114" xfId="4" applyNumberFormat="1" applyFont="1" applyFill="1" applyBorder="1" applyAlignment="1">
      <alignment vertical="center"/>
    </xf>
    <xf numFmtId="168" fontId="39" fillId="9" borderId="125" xfId="4" applyNumberFormat="1" applyFont="1" applyFill="1" applyBorder="1" applyAlignment="1">
      <alignment vertical="center"/>
    </xf>
    <xf numFmtId="168" fontId="39" fillId="9" borderId="91" xfId="4" applyNumberFormat="1" applyFont="1" applyFill="1" applyBorder="1" applyAlignment="1">
      <alignment vertical="center"/>
    </xf>
    <xf numFmtId="168" fontId="39" fillId="9" borderId="115" xfId="4" applyNumberFormat="1" applyFont="1" applyFill="1" applyBorder="1" applyAlignment="1">
      <alignment vertical="center"/>
    </xf>
    <xf numFmtId="3" fontId="42" fillId="14" borderId="31" xfId="0" applyNumberFormat="1" applyFont="1" applyFill="1" applyBorder="1" applyAlignment="1">
      <alignment vertical="center"/>
    </xf>
    <xf numFmtId="3" fontId="42" fillId="14" borderId="94" xfId="0" applyNumberFormat="1" applyFont="1" applyFill="1" applyBorder="1" applyAlignment="1">
      <alignment vertical="center"/>
    </xf>
    <xf numFmtId="168" fontId="54" fillId="14" borderId="93" xfId="4" applyNumberFormat="1" applyFont="1" applyFill="1" applyBorder="1" applyAlignment="1">
      <alignment vertical="center"/>
    </xf>
    <xf numFmtId="168" fontId="54" fillId="14" borderId="94" xfId="4" applyNumberFormat="1" applyFont="1" applyFill="1" applyBorder="1" applyAlignment="1">
      <alignment vertical="center"/>
    </xf>
    <xf numFmtId="168" fontId="42" fillId="14" borderId="112" xfId="4" applyNumberFormat="1" applyFont="1" applyFill="1" applyBorder="1" applyAlignment="1">
      <alignment vertical="center"/>
    </xf>
    <xf numFmtId="168" fontId="42" fillId="14" borderId="94" xfId="4" applyNumberFormat="1" applyFont="1" applyFill="1" applyBorder="1" applyAlignment="1">
      <alignment vertical="center"/>
    </xf>
    <xf numFmtId="168" fontId="39" fillId="9" borderId="88" xfId="4" applyNumberFormat="1" applyFont="1" applyFill="1" applyBorder="1" applyAlignment="1">
      <alignment vertical="center"/>
    </xf>
    <xf numFmtId="3" fontId="54" fillId="14" borderId="94" xfId="0" applyNumberFormat="1" applyFont="1" applyFill="1" applyBorder="1" applyAlignment="1">
      <alignment vertical="center"/>
    </xf>
    <xf numFmtId="3" fontId="20" fillId="9" borderId="121" xfId="0" applyNumberFormat="1" applyFont="1" applyFill="1" applyBorder="1" applyAlignment="1">
      <alignment vertical="center"/>
    </xf>
    <xf numFmtId="3" fontId="20" fillId="9" borderId="122" xfId="0" applyNumberFormat="1" applyFont="1" applyFill="1" applyBorder="1" applyAlignment="1">
      <alignment vertical="center"/>
    </xf>
    <xf numFmtId="3" fontId="20" fillId="9" borderId="106" xfId="0" applyNumberFormat="1" applyFont="1" applyFill="1" applyBorder="1" applyAlignment="1">
      <alignment vertical="center"/>
    </xf>
    <xf numFmtId="3" fontId="20" fillId="9" borderId="82" xfId="0" applyNumberFormat="1" applyFont="1" applyFill="1" applyBorder="1" applyAlignment="1">
      <alignment vertical="center"/>
    </xf>
    <xf numFmtId="3" fontId="20" fillId="9" borderId="83" xfId="0" applyNumberFormat="1" applyFont="1" applyFill="1" applyBorder="1" applyAlignment="1">
      <alignment vertical="center"/>
    </xf>
    <xf numFmtId="168" fontId="20" fillId="9" borderId="80" xfId="4" applyNumberFormat="1" applyFont="1" applyFill="1" applyBorder="1" applyAlignment="1">
      <alignment vertical="center"/>
    </xf>
    <xf numFmtId="168" fontId="20" fillId="9" borderId="99" xfId="4" applyNumberFormat="1" applyFont="1" applyFill="1" applyBorder="1" applyAlignment="1">
      <alignment vertical="center"/>
    </xf>
    <xf numFmtId="168" fontId="20" fillId="9" borderId="124" xfId="4" applyNumberFormat="1" applyFont="1" applyFill="1" applyBorder="1" applyAlignment="1">
      <alignment vertical="center"/>
    </xf>
    <xf numFmtId="168" fontId="20" fillId="9" borderId="82" xfId="4" applyNumberFormat="1" applyFont="1" applyFill="1" applyBorder="1" applyAlignment="1">
      <alignment vertical="center"/>
    </xf>
    <xf numFmtId="168" fontId="20" fillId="9" borderId="100" xfId="4" applyNumberFormat="1" applyFont="1" applyFill="1" applyBorder="1" applyAlignment="1">
      <alignment vertical="center"/>
    </xf>
    <xf numFmtId="3" fontId="56" fillId="14" borderId="94" xfId="0" applyNumberFormat="1" applyFont="1" applyFill="1" applyBorder="1" applyAlignment="1">
      <alignment vertical="center"/>
    </xf>
    <xf numFmtId="3" fontId="50" fillId="14" borderId="31" xfId="0" applyNumberFormat="1" applyFont="1" applyFill="1" applyBorder="1" applyAlignment="1">
      <alignment vertical="center"/>
    </xf>
    <xf numFmtId="9" fontId="39" fillId="14" borderId="112" xfId="4" applyFont="1" applyFill="1" applyBorder="1" applyAlignment="1">
      <alignment vertical="center"/>
    </xf>
    <xf numFmtId="11" fontId="0" fillId="0" borderId="0" xfId="0" applyNumberFormat="1"/>
    <xf numFmtId="0" fontId="38" fillId="0" borderId="0" xfId="10" applyFont="1" applyAlignment="1">
      <alignment horizontal="center"/>
    </xf>
    <xf numFmtId="0" fontId="40" fillId="16" borderId="0" xfId="10" applyFont="1" applyFill="1" applyAlignment="1">
      <alignment horizontal="center"/>
    </xf>
    <xf numFmtId="9" fontId="39" fillId="17" borderId="46" xfId="4" applyFont="1" applyFill="1" applyBorder="1" applyAlignment="1">
      <alignment horizontal="center" textRotation="90" wrapText="1"/>
    </xf>
    <xf numFmtId="0" fontId="8" fillId="17" borderId="49" xfId="10" applyFill="1" applyBorder="1" applyAlignment="1">
      <alignment horizontal="center" textRotation="90" wrapText="1"/>
    </xf>
    <xf numFmtId="0" fontId="8" fillId="17" borderId="50" xfId="10" applyFill="1" applyBorder="1" applyAlignment="1">
      <alignment horizontal="center" textRotation="90" wrapText="1"/>
    </xf>
    <xf numFmtId="0" fontId="39" fillId="17" borderId="51" xfId="10" applyFont="1" applyFill="1" applyBorder="1" applyAlignment="1">
      <alignment horizontal="center" textRotation="90" wrapText="1"/>
    </xf>
    <xf numFmtId="0" fontId="39" fillId="17" borderId="6" xfId="10" applyFont="1" applyFill="1" applyBorder="1" applyAlignment="1">
      <alignment horizontal="center" textRotation="90" wrapText="1"/>
    </xf>
    <xf numFmtId="9" fontId="39" fillId="17" borderId="46" xfId="4" applyFont="1" applyFill="1" applyBorder="1" applyAlignment="1">
      <alignment horizontal="center" vertical="center" wrapText="1"/>
    </xf>
    <xf numFmtId="0" fontId="40" fillId="16" borderId="0" xfId="10" applyFont="1" applyFill="1" applyAlignment="1">
      <alignment horizontal="center" textRotation="90" wrapText="1"/>
    </xf>
    <xf numFmtId="0" fontId="40" fillId="17" borderId="52" xfId="10" applyFont="1" applyFill="1" applyBorder="1" applyAlignment="1">
      <alignment horizontal="center"/>
    </xf>
    <xf numFmtId="0" fontId="40" fillId="17" borderId="6" xfId="10" applyFont="1" applyFill="1" applyBorder="1" applyAlignment="1">
      <alignment horizontal="center"/>
    </xf>
    <xf numFmtId="0" fontId="40" fillId="17" borderId="0" xfId="10" applyFont="1" applyFill="1" applyAlignment="1">
      <alignment horizontal="center"/>
    </xf>
    <xf numFmtId="2" fontId="42" fillId="16" borderId="56" xfId="10" applyNumberFormat="1" applyFont="1" applyFill="1" applyBorder="1" applyAlignment="1">
      <alignment horizontal="right"/>
    </xf>
    <xf numFmtId="2" fontId="42" fillId="16" borderId="0" xfId="10" applyNumberFormat="1" applyFont="1" applyFill="1" applyAlignment="1">
      <alignment horizontal="right"/>
    </xf>
    <xf numFmtId="2" fontId="42" fillId="16" borderId="57" xfId="10" applyNumberFormat="1" applyFont="1" applyFill="1" applyBorder="1" applyAlignment="1">
      <alignment horizontal="right"/>
    </xf>
    <xf numFmtId="2" fontId="42" fillId="17" borderId="58" xfId="4" applyNumberFormat="1" applyFont="1" applyFill="1" applyBorder="1" applyAlignment="1">
      <alignment horizontal="center" vertical="center" wrapText="1"/>
    </xf>
    <xf numFmtId="0" fontId="8" fillId="17" borderId="25" xfId="10" applyFill="1" applyBorder="1"/>
    <xf numFmtId="0" fontId="39" fillId="17" borderId="0" xfId="10" applyFont="1" applyFill="1" applyAlignment="1">
      <alignment horizontal="center"/>
    </xf>
    <xf numFmtId="9" fontId="39" fillId="17" borderId="47" xfId="4" applyFont="1" applyFill="1" applyBorder="1" applyAlignment="1">
      <alignment horizontal="center" wrapText="1"/>
    </xf>
    <xf numFmtId="0" fontId="8" fillId="17" borderId="62" xfId="10" applyFill="1" applyBorder="1"/>
    <xf numFmtId="0" fontId="42" fillId="18" borderId="68" xfId="10" applyFont="1" applyFill="1" applyBorder="1" applyAlignment="1">
      <alignment horizontal="center"/>
    </xf>
    <xf numFmtId="0" fontId="42" fillId="18" borderId="5" xfId="10" applyFont="1" applyFill="1" applyBorder="1" applyAlignment="1">
      <alignment horizontal="center"/>
    </xf>
    <xf numFmtId="0" fontId="39" fillId="17" borderId="69" xfId="10" applyFont="1" applyFill="1" applyBorder="1" applyAlignment="1">
      <alignment horizontal="center"/>
    </xf>
    <xf numFmtId="0" fontId="39" fillId="17" borderId="38" xfId="10" applyFont="1" applyFill="1" applyBorder="1" applyAlignment="1">
      <alignment horizontal="center"/>
    </xf>
    <xf numFmtId="0" fontId="8" fillId="17" borderId="13" xfId="10" applyFill="1" applyBorder="1"/>
    <xf numFmtId="0" fontId="8" fillId="0" borderId="74" xfId="10" applyBorder="1"/>
    <xf numFmtId="3" fontId="8" fillId="16" borderId="75" xfId="10" applyNumberFormat="1" applyFill="1" applyBorder="1"/>
    <xf numFmtId="3" fontId="8" fillId="16" borderId="76" xfId="10" applyNumberFormat="1" applyFill="1" applyBorder="1"/>
    <xf numFmtId="3" fontId="8" fillId="16" borderId="74" xfId="10" applyNumberFormat="1" applyFill="1" applyBorder="1"/>
    <xf numFmtId="3" fontId="8" fillId="16" borderId="77" xfId="10" applyNumberFormat="1" applyFill="1" applyBorder="1"/>
    <xf numFmtId="0" fontId="39" fillId="17" borderId="25" xfId="10" applyFont="1" applyFill="1" applyBorder="1" applyAlignment="1">
      <alignment horizontal="left"/>
    </xf>
    <xf numFmtId="0" fontId="8" fillId="17" borderId="0" xfId="10" applyFill="1" applyAlignment="1">
      <alignment horizontal="center"/>
    </xf>
    <xf numFmtId="178" fontId="8" fillId="17" borderId="0" xfId="10" applyNumberFormat="1" applyFill="1"/>
    <xf numFmtId="0" fontId="8" fillId="0" borderId="79" xfId="10" applyBorder="1"/>
    <xf numFmtId="3" fontId="8" fillId="16" borderId="80" xfId="10" applyNumberFormat="1" applyFill="1" applyBorder="1"/>
    <xf numFmtId="3" fontId="8" fillId="16" borderId="81" xfId="10" applyNumberFormat="1" applyFill="1" applyBorder="1"/>
    <xf numFmtId="3" fontId="8" fillId="16" borderId="79" xfId="10" applyNumberFormat="1" applyFill="1" applyBorder="1"/>
    <xf numFmtId="3" fontId="8" fillId="16" borderId="82" xfId="10" applyNumberFormat="1" applyFill="1" applyBorder="1"/>
    <xf numFmtId="168" fontId="42" fillId="17" borderId="0" xfId="4" applyNumberFormat="1" applyFont="1" applyFill="1" applyBorder="1" applyAlignment="1">
      <alignment horizontal="right"/>
    </xf>
    <xf numFmtId="0" fontId="8" fillId="17" borderId="25" xfId="10" applyFill="1" applyBorder="1" applyAlignment="1">
      <alignment horizontal="center"/>
    </xf>
    <xf numFmtId="0" fontId="8" fillId="17" borderId="0" xfId="10" applyFill="1"/>
    <xf numFmtId="0" fontId="8" fillId="0" borderId="87" xfId="10" applyBorder="1"/>
    <xf numFmtId="3" fontId="8" fillId="16" borderId="88" xfId="10" applyNumberFormat="1" applyFill="1" applyBorder="1"/>
    <xf numFmtId="3" fontId="8" fillId="16" borderId="89" xfId="10" applyNumberFormat="1" applyFill="1" applyBorder="1"/>
    <xf numFmtId="3" fontId="8" fillId="16" borderId="90" xfId="10" applyNumberFormat="1" applyFill="1" applyBorder="1"/>
    <xf numFmtId="3" fontId="8" fillId="16" borderId="122" xfId="10" applyNumberFormat="1" applyFill="1" applyBorder="1"/>
    <xf numFmtId="0" fontId="39" fillId="5" borderId="92" xfId="10" applyFont="1" applyFill="1" applyBorder="1"/>
    <xf numFmtId="0" fontId="39" fillId="5" borderId="93" xfId="10" applyFont="1" applyFill="1" applyBorder="1"/>
    <xf numFmtId="3" fontId="39" fillId="5" borderId="31" xfId="10" applyNumberFormat="1" applyFont="1" applyFill="1" applyBorder="1" applyAlignment="1">
      <alignment vertical="center"/>
    </xf>
    <xf numFmtId="3" fontId="8" fillId="5" borderId="94" xfId="10" applyNumberFormat="1" applyFill="1" applyBorder="1" applyAlignment="1">
      <alignment vertical="center"/>
    </xf>
    <xf numFmtId="3" fontId="8" fillId="17" borderId="13" xfId="10" applyNumberFormat="1" applyFill="1" applyBorder="1"/>
    <xf numFmtId="0" fontId="8" fillId="17" borderId="38" xfId="10" applyFill="1" applyBorder="1"/>
    <xf numFmtId="168" fontId="39" fillId="16" borderId="96" xfId="4" applyNumberFormat="1" applyFont="1" applyFill="1" applyBorder="1"/>
    <xf numFmtId="168" fontId="39" fillId="16" borderId="97" xfId="4" applyNumberFormat="1" applyFont="1" applyFill="1" applyBorder="1"/>
    <xf numFmtId="168" fontId="39" fillId="16" borderId="99" xfId="4" applyNumberFormat="1" applyFont="1" applyFill="1" applyBorder="1"/>
    <xf numFmtId="168" fontId="39" fillId="16" borderId="79" xfId="4" applyNumberFormat="1" applyFont="1" applyFill="1" applyBorder="1"/>
    <xf numFmtId="168" fontId="39" fillId="16" borderId="83" xfId="4" applyNumberFormat="1" applyFont="1" applyFill="1" applyBorder="1"/>
    <xf numFmtId="168" fontId="39" fillId="16" borderId="82" xfId="4" applyNumberFormat="1" applyFont="1" applyFill="1" applyBorder="1"/>
    <xf numFmtId="168" fontId="39" fillId="16" borderId="105" xfId="4" applyNumberFormat="1" applyFont="1" applyFill="1" applyBorder="1"/>
    <xf numFmtId="168" fontId="39" fillId="16" borderId="106" xfId="4" applyNumberFormat="1" applyFont="1" applyFill="1" applyBorder="1"/>
    <xf numFmtId="168" fontId="39" fillId="16" borderId="107" xfId="4" applyNumberFormat="1" applyFont="1" applyFill="1" applyBorder="1"/>
    <xf numFmtId="168" fontId="39" fillId="16" borderId="108" xfId="4" applyNumberFormat="1" applyFont="1" applyFill="1" applyBorder="1"/>
    <xf numFmtId="0" fontId="39" fillId="5" borderId="93" xfId="10" applyFont="1" applyFill="1" applyBorder="1" applyAlignment="1">
      <alignment vertical="center"/>
    </xf>
    <xf numFmtId="168" fontId="39" fillId="5" borderId="93" xfId="4" applyNumberFormat="1" applyFont="1" applyFill="1" applyBorder="1" applyAlignment="1">
      <alignment vertical="center"/>
    </xf>
    <xf numFmtId="168" fontId="39" fillId="5" borderId="94" xfId="4" applyNumberFormat="1" applyFont="1" applyFill="1" applyBorder="1" applyAlignment="1">
      <alignment vertical="center"/>
    </xf>
    <xf numFmtId="168" fontId="39" fillId="5" borderId="112" xfId="4" applyNumberFormat="1" applyFont="1" applyFill="1" applyBorder="1" applyAlignment="1">
      <alignment vertical="center"/>
    </xf>
    <xf numFmtId="9" fontId="20" fillId="0" borderId="0" xfId="0" applyNumberFormat="1" applyFont="1"/>
    <xf numFmtId="0" fontId="8" fillId="0" borderId="0" xfId="10"/>
    <xf numFmtId="4" fontId="0" fillId="0" borderId="0" xfId="0" applyNumberFormat="1"/>
    <xf numFmtId="0" fontId="58" fillId="0" borderId="0" xfId="5" applyFont="1"/>
    <xf numFmtId="170" fontId="18" fillId="0" borderId="0" xfId="5" applyNumberFormat="1"/>
    <xf numFmtId="9" fontId="39" fillId="17" borderId="46" xfId="4" applyFont="1" applyFill="1" applyBorder="1" applyAlignment="1">
      <alignment horizontal="center" wrapText="1"/>
    </xf>
    <xf numFmtId="9" fontId="39" fillId="17" borderId="0" xfId="4" applyFont="1" applyFill="1" applyBorder="1" applyAlignment="1">
      <alignment horizontal="center" wrapText="1"/>
    </xf>
    <xf numFmtId="3" fontId="8" fillId="16" borderId="78" xfId="10" applyNumberFormat="1" applyFill="1" applyBorder="1"/>
    <xf numFmtId="3" fontId="8" fillId="16" borderId="83" xfId="10" applyNumberFormat="1" applyFill="1" applyBorder="1"/>
    <xf numFmtId="3" fontId="8" fillId="17" borderId="82" xfId="10" applyNumberFormat="1" applyFill="1" applyBorder="1"/>
    <xf numFmtId="173" fontId="8" fillId="16" borderId="81" xfId="10" applyNumberFormat="1" applyFill="1" applyBorder="1"/>
    <xf numFmtId="173" fontId="8" fillId="16" borderId="79" xfId="10" applyNumberFormat="1" applyFill="1" applyBorder="1"/>
    <xf numFmtId="3" fontId="8" fillId="16" borderId="91" xfId="10" applyNumberFormat="1" applyFill="1" applyBorder="1"/>
    <xf numFmtId="173" fontId="39" fillId="5" borderId="31" xfId="10" applyNumberFormat="1" applyFont="1" applyFill="1" applyBorder="1" applyAlignment="1">
      <alignment vertical="center"/>
    </xf>
    <xf numFmtId="168" fontId="39" fillId="16" borderId="0" xfId="4" applyNumberFormat="1" applyFont="1" applyFill="1" applyBorder="1"/>
    <xf numFmtId="0" fontId="42" fillId="16" borderId="38" xfId="10" applyFont="1" applyFill="1" applyBorder="1" applyAlignment="1">
      <alignment horizontal="right"/>
    </xf>
    <xf numFmtId="168" fontId="39" fillId="16" borderId="128" xfId="4" applyNumberFormat="1" applyFont="1" applyFill="1" applyBorder="1"/>
    <xf numFmtId="168" fontId="39" fillId="16" borderId="81" xfId="4" applyNumberFormat="1" applyFont="1" applyFill="1" applyBorder="1"/>
    <xf numFmtId="168" fontId="39" fillId="16" borderId="122" xfId="4" applyNumberFormat="1" applyFont="1" applyFill="1" applyBorder="1"/>
    <xf numFmtId="0" fontId="39" fillId="17" borderId="129" xfId="10" applyFont="1" applyFill="1" applyBorder="1" applyAlignment="1">
      <alignment horizontal="center"/>
    </xf>
    <xf numFmtId="0" fontId="39" fillId="17" borderId="63" xfId="10" applyFont="1" applyFill="1" applyBorder="1" applyAlignment="1">
      <alignment horizontal="center"/>
    </xf>
    <xf numFmtId="0" fontId="39" fillId="16" borderId="63" xfId="10" applyFont="1" applyFill="1" applyBorder="1" applyAlignment="1">
      <alignment horizontal="center"/>
    </xf>
    <xf numFmtId="0" fontId="0" fillId="0" borderId="130" xfId="0" applyBorder="1"/>
    <xf numFmtId="0" fontId="0" fillId="0" borderId="44" xfId="0" applyBorder="1"/>
    <xf numFmtId="169" fontId="8" fillId="16" borderId="76" xfId="10" applyNumberFormat="1" applyFill="1" applyBorder="1"/>
    <xf numFmtId="169" fontId="8" fillId="16" borderId="81" xfId="10" applyNumberFormat="1" applyFill="1" applyBorder="1"/>
    <xf numFmtId="169" fontId="8" fillId="16" borderId="89" xfId="10" applyNumberFormat="1" applyFill="1" applyBorder="1"/>
    <xf numFmtId="169" fontId="8" fillId="16" borderId="74" xfId="10" applyNumberFormat="1" applyFill="1" applyBorder="1"/>
    <xf numFmtId="169" fontId="8" fillId="16" borderId="79" xfId="10" applyNumberFormat="1" applyFill="1" applyBorder="1"/>
    <xf numFmtId="169" fontId="8" fillId="16" borderId="90" xfId="10" applyNumberFormat="1" applyFill="1" applyBorder="1"/>
    <xf numFmtId="0" fontId="59" fillId="0" borderId="0" xfId="0" applyFont="1"/>
    <xf numFmtId="0" fontId="39" fillId="16" borderId="38" xfId="10" applyFont="1" applyFill="1" applyBorder="1" applyAlignment="1">
      <alignment horizontal="center"/>
    </xf>
    <xf numFmtId="0" fontId="0" fillId="19" borderId="0" xfId="0" applyFill="1"/>
    <xf numFmtId="0" fontId="32" fillId="19" borderId="0" xfId="0" quotePrefix="1" applyFont="1" applyFill="1"/>
    <xf numFmtId="0" fontId="35" fillId="19" borderId="7" xfId="0" applyFont="1" applyFill="1" applyBorder="1"/>
    <xf numFmtId="0" fontId="30" fillId="19" borderId="7" xfId="0" applyFont="1" applyFill="1" applyBorder="1"/>
    <xf numFmtId="1" fontId="30" fillId="19" borderId="7" xfId="0" applyNumberFormat="1" applyFont="1" applyFill="1" applyBorder="1"/>
    <xf numFmtId="1" fontId="0" fillId="19" borderId="0" xfId="0" applyNumberFormat="1" applyFill="1"/>
    <xf numFmtId="0" fontId="20" fillId="19" borderId="0" xfId="0" applyFont="1" applyFill="1"/>
    <xf numFmtId="170" fontId="0" fillId="19" borderId="0" xfId="0" applyNumberFormat="1" applyFill="1"/>
    <xf numFmtId="0" fontId="30" fillId="19" borderId="0" xfId="0" applyFont="1" applyFill="1"/>
    <xf numFmtId="0" fontId="60" fillId="19" borderId="0" xfId="0" quotePrefix="1" applyFont="1" applyFill="1"/>
    <xf numFmtId="0" fontId="39" fillId="16" borderId="69" xfId="10" applyFont="1" applyFill="1" applyBorder="1"/>
    <xf numFmtId="0" fontId="39" fillId="16" borderId="38" xfId="10" applyFont="1" applyFill="1" applyBorder="1"/>
    <xf numFmtId="0" fontId="8" fillId="17" borderId="131" xfId="10" applyFill="1" applyBorder="1" applyAlignment="1">
      <alignment horizontal="center" textRotation="90" wrapText="1"/>
    </xf>
    <xf numFmtId="0" fontId="17" fillId="0" borderId="0" xfId="0" applyFont="1"/>
    <xf numFmtId="0" fontId="39" fillId="16" borderId="69" xfId="10" applyFont="1" applyFill="1" applyBorder="1" applyAlignment="1">
      <alignment horizontal="center"/>
    </xf>
    <xf numFmtId="3" fontId="8" fillId="16" borderId="132" xfId="10" applyNumberFormat="1" applyFill="1" applyBorder="1"/>
    <xf numFmtId="0" fontId="62" fillId="16" borderId="133" xfId="15" applyFont="1" applyFill="1" applyBorder="1" applyAlignment="1">
      <alignment horizontal="center" vertical="center"/>
    </xf>
    <xf numFmtId="0" fontId="62" fillId="16" borderId="134" xfId="15" applyFont="1" applyFill="1" applyBorder="1" applyAlignment="1">
      <alignment horizontal="center" vertical="center"/>
    </xf>
    <xf numFmtId="0" fontId="39" fillId="16" borderId="38" xfId="10" applyFont="1" applyFill="1" applyBorder="1" applyAlignment="1">
      <alignment horizontal="center" vertical="center"/>
    </xf>
    <xf numFmtId="1" fontId="10" fillId="0" borderId="0" xfId="0" applyNumberFormat="1" applyFont="1" applyAlignment="1">
      <alignment horizontal="right" vertical="center"/>
    </xf>
    <xf numFmtId="0" fontId="64" fillId="0" borderId="95" xfId="17" applyBorder="1" applyAlignment="1">
      <alignment vertical="top"/>
    </xf>
    <xf numFmtId="0" fontId="39" fillId="0" borderId="79" xfId="17" applyFont="1" applyBorder="1" applyAlignment="1">
      <alignment vertical="top"/>
    </xf>
    <xf numFmtId="168" fontId="39" fillId="5" borderId="93" xfId="18" applyNumberFormat="1" applyFont="1" applyFill="1" applyBorder="1" applyAlignment="1">
      <alignment vertical="center"/>
    </xf>
    <xf numFmtId="168" fontId="39" fillId="5" borderId="94" xfId="18" applyNumberFormat="1" applyFont="1" applyFill="1" applyBorder="1" applyAlignment="1">
      <alignment vertical="center"/>
    </xf>
    <xf numFmtId="3" fontId="39" fillId="16" borderId="121" xfId="17" applyNumberFormat="1" applyFont="1" applyFill="1" applyBorder="1" applyAlignment="1">
      <alignment vertical="center"/>
    </xf>
    <xf numFmtId="3" fontId="39" fillId="16" borderId="122" xfId="17" applyNumberFormat="1" applyFont="1" applyFill="1" applyBorder="1" applyAlignment="1">
      <alignment vertical="center"/>
    </xf>
    <xf numFmtId="3" fontId="39" fillId="16" borderId="106" xfId="17" applyNumberFormat="1" applyFont="1" applyFill="1" applyBorder="1" applyAlignment="1">
      <alignment vertical="center"/>
    </xf>
    <xf numFmtId="3" fontId="39" fillId="16" borderId="82" xfId="17" applyNumberFormat="1" applyFont="1" applyFill="1" applyBorder="1" applyAlignment="1">
      <alignment vertical="center"/>
    </xf>
    <xf numFmtId="3" fontId="39" fillId="16" borderId="83" xfId="17" applyNumberFormat="1" applyFont="1" applyFill="1" applyBorder="1" applyAlignment="1">
      <alignment vertical="center"/>
    </xf>
    <xf numFmtId="168" fontId="39" fillId="16" borderId="80" xfId="18" applyNumberFormat="1" applyFont="1" applyFill="1" applyBorder="1" applyAlignment="1">
      <alignment vertical="center"/>
    </xf>
    <xf numFmtId="168" fontId="39" fillId="16" borderId="99" xfId="18" applyNumberFormat="1" applyFont="1" applyFill="1" applyBorder="1" applyAlignment="1">
      <alignment vertical="center"/>
    </xf>
    <xf numFmtId="168" fontId="39" fillId="16" borderId="124" xfId="18" applyNumberFormat="1" applyFont="1" applyFill="1" applyBorder="1" applyAlignment="1">
      <alignment vertical="center"/>
    </xf>
    <xf numFmtId="168" fontId="39" fillId="16" borderId="82" xfId="18" applyNumberFormat="1" applyFont="1" applyFill="1" applyBorder="1" applyAlignment="1">
      <alignment vertical="center"/>
    </xf>
    <xf numFmtId="168" fontId="39" fillId="16" borderId="100" xfId="18" applyNumberFormat="1" applyFont="1" applyFill="1" applyBorder="1" applyAlignment="1">
      <alignment vertical="center"/>
    </xf>
    <xf numFmtId="168" fontId="39" fillId="16" borderId="114" xfId="18" applyNumberFormat="1" applyFont="1" applyFill="1" applyBorder="1" applyAlignment="1">
      <alignment vertical="center"/>
    </xf>
    <xf numFmtId="168" fontId="39" fillId="16" borderId="125" xfId="18" applyNumberFormat="1" applyFont="1" applyFill="1" applyBorder="1" applyAlignment="1">
      <alignment vertical="center"/>
    </xf>
    <xf numFmtId="168" fontId="39" fillId="16" borderId="91" xfId="18" applyNumberFormat="1" applyFont="1" applyFill="1" applyBorder="1" applyAlignment="1">
      <alignment vertical="center"/>
    </xf>
    <xf numFmtId="168" fontId="39" fillId="16" borderId="115" xfId="18" applyNumberFormat="1" applyFont="1" applyFill="1" applyBorder="1" applyAlignment="1">
      <alignment vertical="center"/>
    </xf>
    <xf numFmtId="168" fontId="39" fillId="16" borderId="88" xfId="18" applyNumberFormat="1" applyFont="1" applyFill="1" applyBorder="1" applyAlignment="1">
      <alignment vertical="center"/>
    </xf>
    <xf numFmtId="3" fontId="39" fillId="16" borderId="77" xfId="17" applyNumberFormat="1" applyFont="1" applyFill="1" applyBorder="1" applyAlignment="1">
      <alignment vertical="center"/>
    </xf>
    <xf numFmtId="3" fontId="39" fillId="16" borderId="78" xfId="17" applyNumberFormat="1" applyFont="1" applyFill="1" applyBorder="1" applyAlignment="1">
      <alignment vertical="center"/>
    </xf>
    <xf numFmtId="3" fontId="66" fillId="5" borderId="94" xfId="17" applyNumberFormat="1" applyFont="1" applyFill="1" applyBorder="1" applyAlignment="1">
      <alignment vertical="center"/>
    </xf>
    <xf numFmtId="3" fontId="18" fillId="16" borderId="121" xfId="17" applyNumberFormat="1" applyFont="1" applyFill="1" applyBorder="1" applyAlignment="1">
      <alignment vertical="center"/>
    </xf>
    <xf numFmtId="3" fontId="18" fillId="16" borderId="122" xfId="17" applyNumberFormat="1" applyFont="1" applyFill="1" applyBorder="1" applyAlignment="1">
      <alignment vertical="center"/>
    </xf>
    <xf numFmtId="3" fontId="18" fillId="16" borderId="106" xfId="17" applyNumberFormat="1" applyFont="1" applyFill="1" applyBorder="1" applyAlignment="1">
      <alignment vertical="center"/>
    </xf>
    <xf numFmtId="3" fontId="18" fillId="16" borderId="82" xfId="17" applyNumberFormat="1" applyFont="1" applyFill="1" applyBorder="1" applyAlignment="1">
      <alignment vertical="center"/>
    </xf>
    <xf numFmtId="3" fontId="18" fillId="16" borderId="83" xfId="17" applyNumberFormat="1" applyFont="1" applyFill="1" applyBorder="1" applyAlignment="1">
      <alignment vertical="center"/>
    </xf>
    <xf numFmtId="168" fontId="18" fillId="16" borderId="80" xfId="18" applyNumberFormat="1" applyFont="1" applyFill="1" applyBorder="1" applyAlignment="1">
      <alignment vertical="center"/>
    </xf>
    <xf numFmtId="168" fontId="18" fillId="16" borderId="99" xfId="18" applyNumberFormat="1" applyFont="1" applyFill="1" applyBorder="1" applyAlignment="1">
      <alignment vertical="center"/>
    </xf>
    <xf numFmtId="168" fontId="18" fillId="16" borderId="124" xfId="18" applyNumberFormat="1" applyFont="1" applyFill="1" applyBorder="1" applyAlignment="1">
      <alignment vertical="center"/>
    </xf>
    <xf numFmtId="168" fontId="18" fillId="16" borderId="82" xfId="18" applyNumberFormat="1" applyFont="1" applyFill="1" applyBorder="1" applyAlignment="1">
      <alignment vertical="center"/>
    </xf>
    <xf numFmtId="168" fontId="18" fillId="16" borderId="100" xfId="18" applyNumberFormat="1" applyFont="1" applyFill="1" applyBorder="1" applyAlignment="1">
      <alignment vertical="center"/>
    </xf>
    <xf numFmtId="168" fontId="39" fillId="16" borderId="75" xfId="18" applyNumberFormat="1" applyFill="1" applyBorder="1" applyAlignment="1">
      <alignment vertical="center"/>
    </xf>
    <xf numFmtId="168" fontId="39" fillId="16" borderId="117" xfId="18" applyNumberFormat="1" applyFill="1" applyBorder="1" applyAlignment="1">
      <alignment vertical="center"/>
    </xf>
    <xf numFmtId="168" fontId="39" fillId="16" borderId="123" xfId="18" applyNumberFormat="1" applyFill="1" applyBorder="1" applyAlignment="1">
      <alignment vertical="center"/>
    </xf>
    <xf numFmtId="168" fontId="39" fillId="16" borderId="77" xfId="18" applyNumberFormat="1" applyFill="1" applyBorder="1" applyAlignment="1">
      <alignment vertical="center"/>
    </xf>
    <xf numFmtId="168" fontId="39" fillId="16" borderId="119" xfId="18" applyNumberFormat="1" applyFill="1" applyBorder="1" applyAlignment="1">
      <alignment vertical="center"/>
    </xf>
    <xf numFmtId="3" fontId="50" fillId="5" borderId="31" xfId="17" applyNumberFormat="1" applyFont="1" applyFill="1" applyBorder="1" applyAlignment="1">
      <alignment vertical="center"/>
    </xf>
    <xf numFmtId="9" fontId="39" fillId="5" borderId="112" xfId="18" applyFont="1" applyFill="1" applyBorder="1" applyAlignment="1">
      <alignment vertical="center"/>
    </xf>
    <xf numFmtId="168" fontId="19" fillId="16" borderId="75" xfId="18" applyNumberFormat="1" applyFont="1" applyFill="1" applyBorder="1" applyAlignment="1">
      <alignment vertical="center"/>
    </xf>
    <xf numFmtId="168" fontId="19" fillId="16" borderId="117" xfId="18" applyNumberFormat="1" applyFont="1" applyFill="1" applyBorder="1" applyAlignment="1">
      <alignment vertical="center"/>
    </xf>
    <xf numFmtId="168" fontId="19" fillId="16" borderId="123" xfId="18" applyNumberFormat="1" applyFont="1" applyFill="1" applyBorder="1" applyAlignment="1">
      <alignment vertical="center"/>
    </xf>
    <xf numFmtId="168" fontId="19" fillId="16" borderId="77" xfId="18" applyNumberFormat="1" applyFont="1" applyFill="1" applyBorder="1" applyAlignment="1">
      <alignment vertical="center"/>
    </xf>
    <xf numFmtId="168" fontId="19" fillId="16" borderId="119" xfId="18" applyNumberFormat="1" applyFont="1" applyFill="1" applyBorder="1" applyAlignment="1">
      <alignment vertical="center"/>
    </xf>
    <xf numFmtId="3" fontId="68" fillId="16" borderId="121" xfId="17" applyNumberFormat="1" applyFont="1" applyFill="1" applyBorder="1" applyAlignment="1">
      <alignment vertical="center"/>
    </xf>
    <xf numFmtId="3" fontId="68" fillId="16" borderId="122" xfId="17" applyNumberFormat="1" applyFont="1" applyFill="1" applyBorder="1" applyAlignment="1">
      <alignment vertical="center"/>
    </xf>
    <xf numFmtId="3" fontId="68" fillId="16" borderId="106" xfId="17" applyNumberFormat="1" applyFont="1" applyFill="1" applyBorder="1" applyAlignment="1">
      <alignment vertical="center"/>
    </xf>
    <xf numFmtId="3" fontId="68" fillId="16" borderId="82" xfId="17" applyNumberFormat="1" applyFont="1" applyFill="1" applyBorder="1" applyAlignment="1">
      <alignment vertical="center"/>
    </xf>
    <xf numFmtId="3" fontId="68" fillId="16" borderId="83" xfId="17" applyNumberFormat="1" applyFont="1" applyFill="1" applyBorder="1" applyAlignment="1">
      <alignment vertical="center"/>
    </xf>
    <xf numFmtId="168" fontId="68" fillId="16" borderId="80" xfId="18" applyNumberFormat="1" applyFont="1" applyFill="1" applyBorder="1" applyAlignment="1">
      <alignment vertical="center"/>
    </xf>
    <xf numFmtId="168" fontId="68" fillId="16" borderId="99" xfId="18" applyNumberFormat="1" applyFont="1" applyFill="1" applyBorder="1" applyAlignment="1">
      <alignment vertical="center"/>
    </xf>
    <xf numFmtId="168" fontId="68" fillId="16" borderId="124" xfId="18" applyNumberFormat="1" applyFont="1" applyFill="1" applyBorder="1" applyAlignment="1">
      <alignment vertical="center"/>
    </xf>
    <xf numFmtId="168" fontId="68" fillId="16" borderId="82" xfId="18" applyNumberFormat="1" applyFont="1" applyFill="1" applyBorder="1" applyAlignment="1">
      <alignment vertical="center"/>
    </xf>
    <xf numFmtId="168" fontId="68" fillId="16" borderId="100" xfId="18" applyNumberFormat="1" applyFont="1" applyFill="1" applyBorder="1" applyAlignment="1">
      <alignment vertical="center"/>
    </xf>
    <xf numFmtId="3" fontId="68" fillId="16" borderId="91" xfId="17" applyNumberFormat="1" applyFont="1" applyFill="1" applyBorder="1" applyAlignment="1">
      <alignment vertical="center"/>
    </xf>
    <xf numFmtId="168" fontId="68" fillId="16" borderId="88" xfId="18" applyNumberFormat="1" applyFont="1" applyFill="1" applyBorder="1" applyAlignment="1">
      <alignment vertical="center"/>
    </xf>
    <xf numFmtId="168" fontId="68" fillId="16" borderId="114" xfId="18" applyNumberFormat="1" applyFont="1" applyFill="1" applyBorder="1" applyAlignment="1">
      <alignment vertical="center"/>
    </xf>
    <xf numFmtId="168" fontId="68" fillId="16" borderId="125" xfId="18" applyNumberFormat="1" applyFont="1" applyFill="1" applyBorder="1" applyAlignment="1">
      <alignment vertical="center"/>
    </xf>
    <xf numFmtId="168" fontId="68" fillId="16" borderId="91" xfId="18" applyNumberFormat="1" applyFont="1" applyFill="1" applyBorder="1" applyAlignment="1">
      <alignment vertical="center"/>
    </xf>
    <xf numFmtId="168" fontId="68" fillId="16" borderId="115" xfId="18" applyNumberFormat="1" applyFont="1" applyFill="1" applyBorder="1" applyAlignment="1">
      <alignment vertical="center"/>
    </xf>
    <xf numFmtId="3" fontId="69" fillId="5" borderId="31" xfId="17" applyNumberFormat="1" applyFont="1" applyFill="1" applyBorder="1" applyAlignment="1">
      <alignment vertical="center"/>
    </xf>
    <xf numFmtId="3" fontId="70" fillId="5" borderId="31" xfId="17" applyNumberFormat="1" applyFont="1" applyFill="1" applyBorder="1" applyAlignment="1">
      <alignment vertical="center"/>
    </xf>
    <xf numFmtId="168" fontId="70" fillId="5" borderId="93" xfId="18" applyNumberFormat="1" applyFont="1" applyFill="1" applyBorder="1" applyAlignment="1">
      <alignment vertical="center"/>
    </xf>
    <xf numFmtId="168" fontId="70" fillId="5" borderId="94" xfId="18" applyNumberFormat="1" applyFont="1" applyFill="1" applyBorder="1" applyAlignment="1">
      <alignment vertical="center"/>
    </xf>
    <xf numFmtId="9" fontId="70" fillId="5" borderId="112" xfId="18" applyFont="1" applyFill="1" applyBorder="1" applyAlignment="1">
      <alignment vertical="center"/>
    </xf>
    <xf numFmtId="168" fontId="71" fillId="5" borderId="94" xfId="18" applyNumberFormat="1" applyFont="1" applyFill="1" applyBorder="1" applyAlignment="1">
      <alignment vertical="center"/>
    </xf>
    <xf numFmtId="168" fontId="19" fillId="16" borderId="80" xfId="18" applyNumberFormat="1" applyFont="1" applyFill="1" applyBorder="1" applyAlignment="1">
      <alignment vertical="center"/>
    </xf>
    <xf numFmtId="168" fontId="19" fillId="16" borderId="124" xfId="18" applyNumberFormat="1" applyFont="1" applyFill="1" applyBorder="1" applyAlignment="1">
      <alignment vertical="center"/>
    </xf>
    <xf numFmtId="168" fontId="19" fillId="16" borderId="82" xfId="18" applyNumberFormat="1" applyFont="1" applyFill="1" applyBorder="1" applyAlignment="1">
      <alignment vertical="center"/>
    </xf>
    <xf numFmtId="168" fontId="19" fillId="16" borderId="100" xfId="18" applyNumberFormat="1" applyFont="1" applyFill="1" applyBorder="1" applyAlignment="1">
      <alignment vertical="center"/>
    </xf>
    <xf numFmtId="0" fontId="40" fillId="17" borderId="48" xfId="10" applyFont="1" applyFill="1" applyBorder="1" applyAlignment="1">
      <alignment horizontal="center"/>
    </xf>
    <xf numFmtId="0" fontId="42" fillId="16" borderId="70" xfId="10" applyFont="1" applyFill="1" applyBorder="1" applyAlignment="1">
      <alignment horizontal="right"/>
    </xf>
    <xf numFmtId="0" fontId="42" fillId="16" borderId="15" xfId="10" applyFont="1" applyFill="1" applyBorder="1" applyAlignment="1">
      <alignment horizontal="right"/>
    </xf>
    <xf numFmtId="0" fontId="42" fillId="16" borderId="71" xfId="10" applyFont="1" applyFill="1" applyBorder="1" applyAlignment="1">
      <alignment horizontal="right"/>
    </xf>
    <xf numFmtId="0" fontId="39" fillId="16" borderId="72" xfId="10" applyFont="1" applyFill="1" applyBorder="1" applyAlignment="1">
      <alignment horizontal="center"/>
    </xf>
    <xf numFmtId="9" fontId="39" fillId="17" borderId="3" xfId="4" applyFont="1" applyFill="1" applyBorder="1" applyAlignment="1">
      <alignment horizontal="center" wrapText="1"/>
    </xf>
    <xf numFmtId="3" fontId="39" fillId="17" borderId="45" xfId="10" applyNumberFormat="1" applyFont="1" applyFill="1" applyBorder="1"/>
    <xf numFmtId="0" fontId="8" fillId="17" borderId="45" xfId="10" applyFill="1" applyBorder="1" applyAlignment="1">
      <alignment horizontal="center"/>
    </xf>
    <xf numFmtId="0" fontId="8" fillId="17" borderId="45" xfId="10" applyFill="1" applyBorder="1"/>
    <xf numFmtId="0" fontId="8" fillId="17" borderId="64" xfId="10" applyFill="1" applyBorder="1"/>
    <xf numFmtId="0" fontId="8" fillId="0" borderId="95" xfId="10" applyBorder="1"/>
    <xf numFmtId="168" fontId="39" fillId="16" borderId="95" xfId="4" applyNumberFormat="1" applyFont="1" applyFill="1" applyBorder="1"/>
    <xf numFmtId="168" fontId="39" fillId="16" borderId="78" xfId="4" applyNumberFormat="1" applyFont="1" applyFill="1" applyBorder="1"/>
    <xf numFmtId="168" fontId="39" fillId="16" borderId="98" xfId="4" applyNumberFormat="1" applyFont="1" applyFill="1" applyBorder="1"/>
    <xf numFmtId="168" fontId="39" fillId="16" borderId="100" xfId="4" applyNumberFormat="1" applyFont="1" applyFill="1" applyBorder="1"/>
    <xf numFmtId="0" fontId="8" fillId="18" borderId="79" xfId="10" applyFill="1" applyBorder="1"/>
    <xf numFmtId="0" fontId="8" fillId="0" borderId="104" xfId="10" applyBorder="1"/>
    <xf numFmtId="168" fontId="39" fillId="16" borderId="109" xfId="4" applyNumberFormat="1" applyFont="1" applyFill="1" applyBorder="1"/>
    <xf numFmtId="0" fontId="39" fillId="5" borderId="92" xfId="10" applyFont="1" applyFill="1" applyBorder="1" applyAlignment="1">
      <alignment vertical="center"/>
    </xf>
    <xf numFmtId="0" fontId="8" fillId="0" borderId="107" xfId="10" applyBorder="1"/>
    <xf numFmtId="168" fontId="39" fillId="16" borderId="114" xfId="4" applyNumberFormat="1" applyFont="1" applyFill="1" applyBorder="1"/>
    <xf numFmtId="168" fontId="39" fillId="16" borderId="90" xfId="4" applyNumberFormat="1" applyFont="1" applyFill="1" applyBorder="1"/>
    <xf numFmtId="168" fontId="39" fillId="16" borderId="104" xfId="4" applyNumberFormat="1" applyFont="1" applyFill="1" applyBorder="1"/>
    <xf numFmtId="168" fontId="39" fillId="16" borderId="115" xfId="4" applyNumberFormat="1" applyFont="1" applyFill="1" applyBorder="1"/>
    <xf numFmtId="0" fontId="8" fillId="0" borderId="90" xfId="10" applyBorder="1"/>
    <xf numFmtId="0" fontId="8" fillId="0" borderId="116" xfId="10" applyBorder="1"/>
    <xf numFmtId="168" fontId="39" fillId="16" borderId="117" xfId="4" applyNumberFormat="1" applyFont="1" applyFill="1" applyBorder="1"/>
    <xf numFmtId="168" fontId="39" fillId="16" borderId="74" xfId="4" applyNumberFormat="1" applyFont="1" applyFill="1" applyBorder="1"/>
    <xf numFmtId="168" fontId="39" fillId="16" borderId="118" xfId="4" applyNumberFormat="1" applyFont="1" applyFill="1" applyBorder="1"/>
    <xf numFmtId="168" fontId="39" fillId="16" borderId="119" xfId="4" applyNumberFormat="1" applyFont="1" applyFill="1" applyBorder="1"/>
    <xf numFmtId="0" fontId="8" fillId="0" borderId="120" xfId="10" applyBorder="1"/>
    <xf numFmtId="168" fontId="39" fillId="16" borderId="75" xfId="4" applyNumberFormat="1" applyFont="1" applyFill="1" applyBorder="1"/>
    <xf numFmtId="168" fontId="39" fillId="16" borderId="80" xfId="4" applyNumberFormat="1" applyFont="1" applyFill="1" applyBorder="1"/>
    <xf numFmtId="3" fontId="8" fillId="16" borderId="121" xfId="10" applyNumberFormat="1" applyFill="1" applyBorder="1"/>
    <xf numFmtId="3" fontId="8" fillId="16" borderId="106" xfId="10" applyNumberFormat="1" applyFill="1" applyBorder="1"/>
    <xf numFmtId="168" fontId="39" fillId="5" borderId="92" xfId="4" applyNumberFormat="1" applyFont="1" applyFill="1" applyBorder="1" applyAlignment="1">
      <alignment vertical="center"/>
    </xf>
    <xf numFmtId="0" fontId="8" fillId="0" borderId="95" xfId="10" applyBorder="1" applyAlignment="1">
      <alignment vertical="top"/>
    </xf>
    <xf numFmtId="3" fontId="8" fillId="16" borderId="121" xfId="10" applyNumberFormat="1" applyFill="1" applyBorder="1" applyAlignment="1">
      <alignment vertical="top"/>
    </xf>
    <xf numFmtId="3" fontId="8" fillId="16" borderId="122" xfId="10" applyNumberFormat="1" applyFill="1" applyBorder="1" applyAlignment="1">
      <alignment vertical="top"/>
    </xf>
    <xf numFmtId="3" fontId="8" fillId="16" borderId="106" xfId="10" applyNumberFormat="1" applyFill="1" applyBorder="1" applyAlignment="1">
      <alignment vertical="top"/>
    </xf>
    <xf numFmtId="168" fontId="39" fillId="16" borderId="75" xfId="4" applyNumberFormat="1" applyFont="1" applyFill="1" applyBorder="1" applyAlignment="1">
      <alignment vertical="top"/>
    </xf>
    <xf numFmtId="168" fontId="39" fillId="16" borderId="117" xfId="4" applyNumberFormat="1" applyFont="1" applyFill="1" applyBorder="1" applyAlignment="1">
      <alignment vertical="top"/>
    </xf>
    <xf numFmtId="168" fontId="39" fillId="16" borderId="123" xfId="4" applyNumberFormat="1" applyFont="1" applyFill="1" applyBorder="1" applyAlignment="1">
      <alignment vertical="top"/>
    </xf>
    <xf numFmtId="168" fontId="39" fillId="16" borderId="77" xfId="4" applyNumberFormat="1" applyFont="1" applyFill="1" applyBorder="1" applyAlignment="1">
      <alignment vertical="top"/>
    </xf>
    <xf numFmtId="168" fontId="39" fillId="16" borderId="119" xfId="4" applyNumberFormat="1" applyFont="1" applyFill="1" applyBorder="1" applyAlignment="1">
      <alignment vertical="top"/>
    </xf>
    <xf numFmtId="0" fontId="39" fillId="0" borderId="79" xfId="10" applyFont="1" applyBorder="1" applyAlignment="1">
      <alignment vertical="top"/>
    </xf>
    <xf numFmtId="3" fontId="39" fillId="16" borderId="121" xfId="10" applyNumberFormat="1" applyFont="1" applyFill="1" applyBorder="1" applyAlignment="1">
      <alignment vertical="top"/>
    </xf>
    <xf numFmtId="3" fontId="39" fillId="16" borderId="122" xfId="10" applyNumberFormat="1" applyFont="1" applyFill="1" applyBorder="1" applyAlignment="1">
      <alignment vertical="top"/>
    </xf>
    <xf numFmtId="3" fontId="39" fillId="16" borderId="106" xfId="10" applyNumberFormat="1" applyFont="1" applyFill="1" applyBorder="1" applyAlignment="1">
      <alignment vertical="top"/>
    </xf>
    <xf numFmtId="168" fontId="39" fillId="16" borderId="80" xfId="4" applyNumberFormat="1" applyFont="1" applyFill="1" applyBorder="1" applyAlignment="1">
      <alignment vertical="top"/>
    </xf>
    <xf numFmtId="168" fontId="39" fillId="16" borderId="99" xfId="4" applyNumberFormat="1" applyFont="1" applyFill="1" applyBorder="1" applyAlignment="1">
      <alignment vertical="top"/>
    </xf>
    <xf numFmtId="168" fontId="39" fillId="16" borderId="124" xfId="4" applyNumberFormat="1" applyFont="1" applyFill="1" applyBorder="1" applyAlignment="1">
      <alignment vertical="top"/>
    </xf>
    <xf numFmtId="168" fontId="39" fillId="16" borderId="82" xfId="4" applyNumberFormat="1" applyFont="1" applyFill="1" applyBorder="1" applyAlignment="1">
      <alignment vertical="top"/>
    </xf>
    <xf numFmtId="168" fontId="39" fillId="16" borderId="100" xfId="4" applyNumberFormat="1" applyFont="1" applyFill="1" applyBorder="1" applyAlignment="1">
      <alignment vertical="top"/>
    </xf>
    <xf numFmtId="3" fontId="18" fillId="16" borderId="121" xfId="10" applyNumberFormat="1" applyFont="1" applyFill="1" applyBorder="1" applyAlignment="1">
      <alignment vertical="top"/>
    </xf>
    <xf numFmtId="3" fontId="18" fillId="16" borderId="122" xfId="10" applyNumberFormat="1" applyFont="1" applyFill="1" applyBorder="1" applyAlignment="1">
      <alignment vertical="top"/>
    </xf>
    <xf numFmtId="3" fontId="18" fillId="16" borderId="106" xfId="10" applyNumberFormat="1" applyFont="1" applyFill="1" applyBorder="1" applyAlignment="1">
      <alignment vertical="top"/>
    </xf>
    <xf numFmtId="168" fontId="18" fillId="16" borderId="80" xfId="4" applyNumberFormat="1" applyFont="1" applyFill="1" applyBorder="1" applyAlignment="1">
      <alignment vertical="top"/>
    </xf>
    <xf numFmtId="168" fontId="18" fillId="16" borderId="99" xfId="4" applyNumberFormat="1" applyFont="1" applyFill="1" applyBorder="1" applyAlignment="1">
      <alignment vertical="top"/>
    </xf>
    <xf numFmtId="168" fontId="18" fillId="16" borderId="124" xfId="4" applyNumberFormat="1" applyFont="1" applyFill="1" applyBorder="1" applyAlignment="1">
      <alignment vertical="top"/>
    </xf>
    <xf numFmtId="168" fontId="18" fillId="16" borderId="82" xfId="4" applyNumberFormat="1" applyFont="1" applyFill="1" applyBorder="1" applyAlignment="1">
      <alignment vertical="top"/>
    </xf>
    <xf numFmtId="168" fontId="18" fillId="16" borderId="100" xfId="4" applyNumberFormat="1" applyFont="1" applyFill="1" applyBorder="1" applyAlignment="1">
      <alignment vertical="top"/>
    </xf>
    <xf numFmtId="3" fontId="50" fillId="16" borderId="121" xfId="10" applyNumberFormat="1" applyFont="1" applyFill="1" applyBorder="1" applyAlignment="1">
      <alignment vertical="top"/>
    </xf>
    <xf numFmtId="3" fontId="50" fillId="16" borderId="122" xfId="10" applyNumberFormat="1" applyFont="1" applyFill="1" applyBorder="1" applyAlignment="1">
      <alignment vertical="top"/>
    </xf>
    <xf numFmtId="3" fontId="50" fillId="16" borderId="106" xfId="10" applyNumberFormat="1" applyFont="1" applyFill="1" applyBorder="1" applyAlignment="1">
      <alignment vertical="top"/>
    </xf>
    <xf numFmtId="168" fontId="39" fillId="16" borderId="88" xfId="4" applyNumberFormat="1" applyFont="1" applyFill="1" applyBorder="1" applyAlignment="1">
      <alignment vertical="top"/>
    </xf>
    <xf numFmtId="168" fontId="39" fillId="16" borderId="114" xfId="4" applyNumberFormat="1" applyFont="1" applyFill="1" applyBorder="1" applyAlignment="1">
      <alignment vertical="top"/>
    </xf>
    <xf numFmtId="168" fontId="39" fillId="16" borderId="125" xfId="4" applyNumberFormat="1" applyFont="1" applyFill="1" applyBorder="1" applyAlignment="1">
      <alignment vertical="top"/>
    </xf>
    <xf numFmtId="168" fontId="39" fillId="16" borderId="91" xfId="4" applyNumberFormat="1" applyFont="1" applyFill="1" applyBorder="1" applyAlignment="1">
      <alignment vertical="top"/>
    </xf>
    <xf numFmtId="168" fontId="39" fillId="16" borderId="115" xfId="4" applyNumberFormat="1" applyFont="1" applyFill="1" applyBorder="1" applyAlignment="1">
      <alignment vertical="top"/>
    </xf>
    <xf numFmtId="3" fontId="65" fillId="16" borderId="121" xfId="10" applyNumberFormat="1" applyFont="1" applyFill="1" applyBorder="1" applyAlignment="1">
      <alignment vertical="top"/>
    </xf>
    <xf numFmtId="168" fontId="65" fillId="16" borderId="80" xfId="4" applyNumberFormat="1" applyFont="1" applyFill="1" applyBorder="1" applyAlignment="1">
      <alignment vertical="top"/>
    </xf>
    <xf numFmtId="168" fontId="50" fillId="16" borderId="124" xfId="4" applyNumberFormat="1" applyFont="1" applyFill="1" applyBorder="1" applyAlignment="1">
      <alignment vertical="top"/>
    </xf>
    <xf numFmtId="168" fontId="50" fillId="16" borderId="82" xfId="4" applyNumberFormat="1" applyFont="1" applyFill="1" applyBorder="1" applyAlignment="1">
      <alignment vertical="top"/>
    </xf>
    <xf numFmtId="168" fontId="50" fillId="16" borderId="100" xfId="4" applyNumberFormat="1" applyFont="1" applyFill="1" applyBorder="1" applyAlignment="1">
      <alignment vertical="top"/>
    </xf>
    <xf numFmtId="168" fontId="50" fillId="5" borderId="93" xfId="4" applyNumberFormat="1" applyFont="1" applyFill="1" applyBorder="1" applyAlignment="1">
      <alignment vertical="center"/>
    </xf>
    <xf numFmtId="3" fontId="8" fillId="16" borderId="121" xfId="10" applyNumberFormat="1" applyFill="1" applyBorder="1" applyAlignment="1">
      <alignment vertical="center"/>
    </xf>
    <xf numFmtId="3" fontId="8" fillId="16" borderId="122" xfId="10" applyNumberFormat="1" applyFill="1" applyBorder="1" applyAlignment="1">
      <alignment vertical="center"/>
    </xf>
    <xf numFmtId="3" fontId="8" fillId="16" borderId="106" xfId="10" applyNumberFormat="1" applyFill="1" applyBorder="1" applyAlignment="1">
      <alignment vertical="center"/>
    </xf>
    <xf numFmtId="3" fontId="8" fillId="16" borderId="77" xfId="10" applyNumberFormat="1" applyFill="1" applyBorder="1" applyAlignment="1">
      <alignment vertical="center"/>
    </xf>
    <xf numFmtId="3" fontId="8" fillId="16" borderId="78" xfId="10" applyNumberFormat="1" applyFill="1" applyBorder="1" applyAlignment="1">
      <alignment vertical="center"/>
    </xf>
    <xf numFmtId="168" fontId="39" fillId="16" borderId="75" xfId="4" applyNumberFormat="1" applyFont="1" applyFill="1" applyBorder="1" applyAlignment="1">
      <alignment vertical="center"/>
    </xf>
    <xf numFmtId="168" fontId="39" fillId="16" borderId="117" xfId="4" applyNumberFormat="1" applyFont="1" applyFill="1" applyBorder="1" applyAlignment="1">
      <alignment vertical="center"/>
    </xf>
    <xf numFmtId="168" fontId="39" fillId="16" borderId="123" xfId="4" applyNumberFormat="1" applyFont="1" applyFill="1" applyBorder="1" applyAlignment="1">
      <alignment vertical="center"/>
    </xf>
    <xf numFmtId="168" fontId="39" fillId="16" borderId="77" xfId="4" applyNumberFormat="1" applyFont="1" applyFill="1" applyBorder="1" applyAlignment="1">
      <alignment vertical="center"/>
    </xf>
    <xf numFmtId="168" fontId="39" fillId="16" borderId="119" xfId="4" applyNumberFormat="1" applyFont="1" applyFill="1" applyBorder="1" applyAlignment="1">
      <alignment vertical="center"/>
    </xf>
    <xf numFmtId="3" fontId="39" fillId="16" borderId="121" xfId="10" applyNumberFormat="1" applyFont="1" applyFill="1" applyBorder="1" applyAlignment="1">
      <alignment vertical="center"/>
    </xf>
    <xf numFmtId="3" fontId="39" fillId="16" borderId="122" xfId="10" applyNumberFormat="1" applyFont="1" applyFill="1" applyBorder="1" applyAlignment="1">
      <alignment vertical="center"/>
    </xf>
    <xf numFmtId="3" fontId="39" fillId="16" borderId="106" xfId="10" applyNumberFormat="1" applyFont="1" applyFill="1" applyBorder="1" applyAlignment="1">
      <alignment vertical="center"/>
    </xf>
    <xf numFmtId="3" fontId="39" fillId="16" borderId="82" xfId="10" applyNumberFormat="1" applyFont="1" applyFill="1" applyBorder="1" applyAlignment="1">
      <alignment vertical="center"/>
    </xf>
    <xf numFmtId="3" fontId="39" fillId="16" borderId="83" xfId="10" applyNumberFormat="1" applyFont="1" applyFill="1" applyBorder="1" applyAlignment="1">
      <alignment vertical="center"/>
    </xf>
    <xf numFmtId="168" fontId="39" fillId="16" borderId="80" xfId="4" applyNumberFormat="1" applyFont="1" applyFill="1" applyBorder="1" applyAlignment="1">
      <alignment vertical="center"/>
    </xf>
    <xf numFmtId="168" fontId="39" fillId="16" borderId="99" xfId="4" applyNumberFormat="1" applyFont="1" applyFill="1" applyBorder="1" applyAlignment="1">
      <alignment vertical="center"/>
    </xf>
    <xf numFmtId="168" fontId="39" fillId="16" borderId="124" xfId="4" applyNumberFormat="1" applyFont="1" applyFill="1" applyBorder="1" applyAlignment="1">
      <alignment vertical="center"/>
    </xf>
    <xf numFmtId="168" fontId="39" fillId="16" borderId="82" xfId="4" applyNumberFormat="1" applyFont="1" applyFill="1" applyBorder="1" applyAlignment="1">
      <alignment vertical="center"/>
    </xf>
    <xf numFmtId="168" fontId="39" fillId="16" borderId="100" xfId="4" applyNumberFormat="1" applyFont="1" applyFill="1" applyBorder="1" applyAlignment="1">
      <alignment vertical="center"/>
    </xf>
    <xf numFmtId="168" fontId="50" fillId="16" borderId="80" xfId="4" applyNumberFormat="1" applyFont="1" applyFill="1" applyBorder="1" applyAlignment="1">
      <alignment vertical="center"/>
    </xf>
    <xf numFmtId="168" fontId="50" fillId="16" borderId="88" xfId="4" applyNumberFormat="1" applyFont="1" applyFill="1" applyBorder="1" applyAlignment="1">
      <alignment vertical="center"/>
    </xf>
    <xf numFmtId="168" fontId="39" fillId="16" borderId="114" xfId="4" applyNumberFormat="1" applyFont="1" applyFill="1" applyBorder="1" applyAlignment="1">
      <alignment vertical="center"/>
    </xf>
    <xf numFmtId="168" fontId="39" fillId="16" borderId="125" xfId="4" applyNumberFormat="1" applyFont="1" applyFill="1" applyBorder="1" applyAlignment="1">
      <alignment vertical="center"/>
    </xf>
    <xf numFmtId="168" fontId="39" fillId="16" borderId="91" xfId="4" applyNumberFormat="1" applyFont="1" applyFill="1" applyBorder="1" applyAlignment="1">
      <alignment vertical="center"/>
    </xf>
    <xf numFmtId="168" fontId="39" fillId="16" borderId="115" xfId="4" applyNumberFormat="1" applyFont="1" applyFill="1" applyBorder="1" applyAlignment="1">
      <alignment vertical="center"/>
    </xf>
    <xf numFmtId="3" fontId="42" fillId="5" borderId="31" xfId="10" applyNumberFormat="1" applyFont="1" applyFill="1" applyBorder="1" applyAlignment="1">
      <alignment vertical="center"/>
    </xf>
    <xf numFmtId="3" fontId="42" fillId="5" borderId="94" xfId="10" applyNumberFormat="1" applyFont="1" applyFill="1" applyBorder="1" applyAlignment="1">
      <alignment vertical="center"/>
    </xf>
    <xf numFmtId="168" fontId="54" fillId="5" borderId="93" xfId="4" applyNumberFormat="1" applyFont="1" applyFill="1" applyBorder="1" applyAlignment="1">
      <alignment vertical="center"/>
    </xf>
    <xf numFmtId="168" fontId="54" fillId="5" borderId="94" xfId="4" applyNumberFormat="1" applyFont="1" applyFill="1" applyBorder="1" applyAlignment="1">
      <alignment vertical="center"/>
    </xf>
    <xf numFmtId="168" fontId="42" fillId="5" borderId="112" xfId="4" applyNumberFormat="1" applyFont="1" applyFill="1" applyBorder="1" applyAlignment="1">
      <alignment vertical="center"/>
    </xf>
    <xf numFmtId="168" fontId="42" fillId="5" borderId="94" xfId="4" applyNumberFormat="1" applyFont="1" applyFill="1" applyBorder="1" applyAlignment="1">
      <alignment vertical="center"/>
    </xf>
    <xf numFmtId="3" fontId="39" fillId="16" borderId="77" xfId="10" applyNumberFormat="1" applyFont="1" applyFill="1" applyBorder="1" applyAlignment="1">
      <alignment vertical="center"/>
    </xf>
    <xf numFmtId="3" fontId="39" fillId="16" borderId="78" xfId="10" applyNumberFormat="1" applyFont="1" applyFill="1" applyBorder="1" applyAlignment="1">
      <alignment vertical="center"/>
    </xf>
    <xf numFmtId="168" fontId="39" fillId="16" borderId="88" xfId="4" applyNumberFormat="1" applyFont="1" applyFill="1" applyBorder="1" applyAlignment="1">
      <alignment vertical="center"/>
    </xf>
    <xf numFmtId="3" fontId="54" fillId="5" borderId="94" xfId="10" applyNumberFormat="1" applyFont="1" applyFill="1" applyBorder="1" applyAlignment="1">
      <alignment vertical="center"/>
    </xf>
    <xf numFmtId="3" fontId="18" fillId="16" borderId="121" xfId="10" applyNumberFormat="1" applyFont="1" applyFill="1" applyBorder="1" applyAlignment="1">
      <alignment vertical="center"/>
    </xf>
    <xf numFmtId="3" fontId="18" fillId="16" borderId="122" xfId="10" applyNumberFormat="1" applyFont="1" applyFill="1" applyBorder="1" applyAlignment="1">
      <alignment vertical="center"/>
    </xf>
    <xf numFmtId="3" fontId="18" fillId="16" borderId="106" xfId="10" applyNumberFormat="1" applyFont="1" applyFill="1" applyBorder="1" applyAlignment="1">
      <alignment vertical="center"/>
    </xf>
    <xf numFmtId="3" fontId="18" fillId="16" borderId="82" xfId="10" applyNumberFormat="1" applyFont="1" applyFill="1" applyBorder="1" applyAlignment="1">
      <alignment vertical="center"/>
    </xf>
    <xf numFmtId="3" fontId="18" fillId="16" borderId="83" xfId="10" applyNumberFormat="1" applyFont="1" applyFill="1" applyBorder="1" applyAlignment="1">
      <alignment vertical="center"/>
    </xf>
    <xf numFmtId="168" fontId="18" fillId="16" borderId="80" xfId="4" applyNumberFormat="1" applyFont="1" applyFill="1" applyBorder="1" applyAlignment="1">
      <alignment vertical="center"/>
    </xf>
    <xf numFmtId="168" fontId="18" fillId="16" borderId="99" xfId="4" applyNumberFormat="1" applyFont="1" applyFill="1" applyBorder="1" applyAlignment="1">
      <alignment vertical="center"/>
    </xf>
    <xf numFmtId="168" fontId="18" fillId="16" borderId="124" xfId="4" applyNumberFormat="1" applyFont="1" applyFill="1" applyBorder="1" applyAlignment="1">
      <alignment vertical="center"/>
    </xf>
    <xf numFmtId="168" fontId="18" fillId="16" borderId="82" xfId="4" applyNumberFormat="1" applyFont="1" applyFill="1" applyBorder="1" applyAlignment="1">
      <alignment vertical="center"/>
    </xf>
    <xf numFmtId="168" fontId="18" fillId="16" borderId="100" xfId="4" applyNumberFormat="1" applyFont="1" applyFill="1" applyBorder="1" applyAlignment="1">
      <alignment vertical="center"/>
    </xf>
    <xf numFmtId="3" fontId="66" fillId="5" borderId="94" xfId="10" applyNumberFormat="1" applyFont="1" applyFill="1" applyBorder="1" applyAlignment="1">
      <alignment vertical="center"/>
    </xf>
    <xf numFmtId="168" fontId="9" fillId="16" borderId="75" xfId="4" applyNumberFormat="1" applyFill="1" applyBorder="1" applyAlignment="1">
      <alignment vertical="center"/>
    </xf>
    <xf numFmtId="168" fontId="9" fillId="16" borderId="117" xfId="4" applyNumberFormat="1" applyFill="1" applyBorder="1" applyAlignment="1">
      <alignment vertical="center"/>
    </xf>
    <xf numFmtId="168" fontId="9" fillId="16" borderId="123" xfId="4" applyNumberFormat="1" applyFill="1" applyBorder="1" applyAlignment="1">
      <alignment vertical="center"/>
    </xf>
    <xf numFmtId="168" fontId="9" fillId="16" borderId="77" xfId="4" applyNumberFormat="1" applyFill="1" applyBorder="1" applyAlignment="1">
      <alignment vertical="center"/>
    </xf>
    <xf numFmtId="168" fontId="9" fillId="16" borderId="119" xfId="4" applyNumberFormat="1" applyFill="1" applyBorder="1" applyAlignment="1">
      <alignment vertical="center"/>
    </xf>
    <xf numFmtId="3" fontId="50" fillId="5" borderId="31" xfId="10" applyNumberFormat="1" applyFont="1" applyFill="1" applyBorder="1" applyAlignment="1">
      <alignment vertical="center"/>
    </xf>
    <xf numFmtId="9" fontId="39" fillId="5" borderId="112" xfId="4" applyFont="1" applyFill="1" applyBorder="1" applyAlignment="1">
      <alignment vertical="center"/>
    </xf>
    <xf numFmtId="3" fontId="73" fillId="13" borderId="66" xfId="0" applyNumberFormat="1" applyFont="1" applyFill="1" applyBorder="1" applyAlignment="1">
      <alignment horizontal="left" vertical="top" wrapText="1"/>
    </xf>
    <xf numFmtId="9" fontId="73" fillId="13" borderId="66" xfId="0" applyNumberFormat="1" applyFont="1" applyFill="1" applyBorder="1" applyAlignment="1">
      <alignment horizontal="left" vertical="top" wrapText="1"/>
    </xf>
    <xf numFmtId="0" fontId="73" fillId="13" borderId="66" xfId="0" applyFont="1" applyFill="1" applyBorder="1" applyAlignment="1">
      <alignment horizontal="left" vertical="top" wrapText="1"/>
    </xf>
    <xf numFmtId="0" fontId="73" fillId="12" borderId="66" xfId="0" applyFont="1" applyFill="1" applyBorder="1" applyAlignment="1">
      <alignment horizontal="left" vertical="top" wrapText="1"/>
    </xf>
    <xf numFmtId="9" fontId="73" fillId="12" borderId="66" xfId="0" applyNumberFormat="1" applyFont="1" applyFill="1" applyBorder="1" applyAlignment="1">
      <alignment horizontal="left" vertical="top" wrapText="1"/>
    </xf>
    <xf numFmtId="3" fontId="73" fillId="12" borderId="66" xfId="0" applyNumberFormat="1" applyFont="1" applyFill="1" applyBorder="1" applyAlignment="1">
      <alignment horizontal="left" vertical="top" wrapText="1"/>
    </xf>
    <xf numFmtId="0" fontId="72" fillId="23" borderId="53" xfId="0" applyFont="1" applyFill="1" applyBorder="1" applyAlignment="1">
      <alignment horizontal="left" vertical="center" wrapText="1"/>
    </xf>
    <xf numFmtId="0" fontId="72" fillId="23" borderId="54" xfId="0" applyFont="1" applyFill="1" applyBorder="1" applyAlignment="1">
      <alignment horizontal="left" vertical="center" wrapText="1"/>
    </xf>
    <xf numFmtId="0" fontId="72" fillId="23" borderId="55" xfId="0" applyFont="1" applyFill="1" applyBorder="1" applyAlignment="1">
      <alignment horizontal="left" vertical="center" wrapText="1"/>
    </xf>
    <xf numFmtId="0" fontId="73" fillId="13" borderId="65" xfId="0" applyFont="1" applyFill="1" applyBorder="1" applyAlignment="1">
      <alignment horizontal="left" vertical="top" wrapText="1"/>
    </xf>
    <xf numFmtId="3" fontId="73" fillId="13" borderId="67" xfId="0" applyNumberFormat="1" applyFont="1" applyFill="1" applyBorder="1" applyAlignment="1">
      <alignment horizontal="left" vertical="top" wrapText="1"/>
    </xf>
    <xf numFmtId="0" fontId="73" fillId="12" borderId="65" xfId="0" applyFont="1" applyFill="1" applyBorder="1" applyAlignment="1">
      <alignment horizontal="left" vertical="top" wrapText="1"/>
    </xf>
    <xf numFmtId="3" fontId="73" fillId="12" borderId="67" xfId="0" applyNumberFormat="1" applyFont="1" applyFill="1" applyBorder="1" applyAlignment="1">
      <alignment horizontal="left" vertical="top" wrapText="1"/>
    </xf>
    <xf numFmtId="0" fontId="73" fillId="12" borderId="67" xfId="0" applyFont="1" applyFill="1" applyBorder="1" applyAlignment="1">
      <alignment horizontal="left" vertical="top" wrapText="1"/>
    </xf>
    <xf numFmtId="0" fontId="73" fillId="13" borderId="101" xfId="0" applyFont="1" applyFill="1" applyBorder="1" applyAlignment="1">
      <alignment horizontal="left" vertical="top" wrapText="1"/>
    </xf>
    <xf numFmtId="3" fontId="73" fillId="13" borderId="102" xfId="0" applyNumberFormat="1" applyFont="1" applyFill="1" applyBorder="1" applyAlignment="1">
      <alignment horizontal="left" vertical="top" wrapText="1"/>
    </xf>
    <xf numFmtId="9" fontId="73" fillId="13" borderId="102" xfId="0" applyNumberFormat="1" applyFont="1" applyFill="1" applyBorder="1" applyAlignment="1">
      <alignment horizontal="left" vertical="top" wrapText="1"/>
    </xf>
    <xf numFmtId="0" fontId="73" fillId="13" borderId="102" xfId="0" applyFont="1" applyFill="1" applyBorder="1" applyAlignment="1">
      <alignment horizontal="left" vertical="top" wrapText="1"/>
    </xf>
    <xf numFmtId="3" fontId="73" fillId="13" borderId="103" xfId="0" applyNumberFormat="1" applyFont="1" applyFill="1" applyBorder="1" applyAlignment="1">
      <alignment horizontal="left" vertical="top" wrapText="1"/>
    </xf>
    <xf numFmtId="0" fontId="74" fillId="12" borderId="59" xfId="0" applyFont="1" applyFill="1" applyBorder="1" applyAlignment="1">
      <alignment horizontal="left" vertical="center" wrapText="1"/>
    </xf>
    <xf numFmtId="0" fontId="74" fillId="12" borderId="60" xfId="0" applyFont="1" applyFill="1" applyBorder="1" applyAlignment="1">
      <alignment horizontal="left" vertical="center" wrapText="1"/>
    </xf>
    <xf numFmtId="0" fontId="74" fillId="12" borderId="61" xfId="0" applyFont="1" applyFill="1" applyBorder="1" applyAlignment="1">
      <alignment horizontal="left" vertical="center" wrapText="1"/>
    </xf>
    <xf numFmtId="0" fontId="74" fillId="13" borderId="84" xfId="0" applyFont="1" applyFill="1" applyBorder="1" applyAlignment="1">
      <alignment horizontal="left" vertical="center" wrapText="1"/>
    </xf>
    <xf numFmtId="0" fontId="74" fillId="13" borderId="85" xfId="0" applyFont="1" applyFill="1" applyBorder="1" applyAlignment="1">
      <alignment horizontal="left" vertical="center" wrapText="1"/>
    </xf>
    <xf numFmtId="0" fontId="74" fillId="13" borderId="86" xfId="0" applyFont="1" applyFill="1" applyBorder="1" applyAlignment="1">
      <alignment horizontal="left" vertical="center" wrapText="1"/>
    </xf>
    <xf numFmtId="0" fontId="74" fillId="12" borderId="84" xfId="0" applyFont="1" applyFill="1" applyBorder="1" applyAlignment="1">
      <alignment horizontal="left" vertical="center" wrapText="1"/>
    </xf>
    <xf numFmtId="0" fontId="74" fillId="12" borderId="85" xfId="0" applyFont="1" applyFill="1" applyBorder="1" applyAlignment="1">
      <alignment horizontal="left" vertical="center" wrapText="1"/>
    </xf>
    <xf numFmtId="0" fontId="74" fillId="12" borderId="86" xfId="0" applyFont="1" applyFill="1" applyBorder="1" applyAlignment="1">
      <alignment horizontal="left" vertical="center" wrapText="1"/>
    </xf>
    <xf numFmtId="0" fontId="75" fillId="24" borderId="0" xfId="0" applyFont="1" applyFill="1"/>
    <xf numFmtId="1" fontId="17" fillId="0" borderId="0" xfId="0" applyNumberFormat="1" applyFont="1"/>
    <xf numFmtId="2" fontId="17" fillId="0" borderId="0" xfId="0" applyNumberFormat="1" applyFont="1"/>
    <xf numFmtId="0" fontId="73" fillId="12" borderId="101" xfId="0" applyFont="1" applyFill="1" applyBorder="1" applyAlignment="1">
      <alignment horizontal="left" vertical="top" wrapText="1"/>
    </xf>
    <xf numFmtId="3" fontId="73" fillId="12" borderId="102" xfId="0" applyNumberFormat="1" applyFont="1" applyFill="1" applyBorder="1" applyAlignment="1">
      <alignment horizontal="left" vertical="top" wrapText="1"/>
    </xf>
    <xf numFmtId="9" fontId="73" fillId="12" borderId="102" xfId="0" applyNumberFormat="1" applyFont="1" applyFill="1" applyBorder="1" applyAlignment="1">
      <alignment horizontal="left" vertical="top" wrapText="1"/>
    </xf>
    <xf numFmtId="0" fontId="73" fillId="12" borderId="102" xfId="0" applyFont="1" applyFill="1" applyBorder="1" applyAlignment="1">
      <alignment horizontal="left" vertical="top" wrapText="1"/>
    </xf>
    <xf numFmtId="3" fontId="73" fillId="12" borderId="103" xfId="0" applyNumberFormat="1" applyFont="1" applyFill="1" applyBorder="1" applyAlignment="1">
      <alignment horizontal="left" vertical="top" wrapText="1"/>
    </xf>
    <xf numFmtId="0" fontId="76" fillId="0" borderId="0" xfId="0" applyFont="1"/>
    <xf numFmtId="0" fontId="42" fillId="17" borderId="0" xfId="10" applyFont="1" applyFill="1" applyAlignment="1">
      <alignment horizontal="center"/>
    </xf>
    <xf numFmtId="0" fontId="39" fillId="16" borderId="0" xfId="10" applyFont="1" applyFill="1" applyAlignment="1">
      <alignment horizontal="center"/>
    </xf>
    <xf numFmtId="0" fontId="8" fillId="17" borderId="6" xfId="10" applyFill="1" applyBorder="1" applyAlignment="1">
      <alignment horizontal="center" textRotation="90" wrapText="1"/>
    </xf>
    <xf numFmtId="0" fontId="42" fillId="16" borderId="44" xfId="10" applyFont="1" applyFill="1" applyBorder="1" applyAlignment="1">
      <alignment horizontal="center"/>
    </xf>
    <xf numFmtId="3" fontId="39" fillId="5" borderId="94" xfId="10" applyNumberFormat="1" applyFont="1" applyFill="1" applyBorder="1" applyAlignment="1">
      <alignment vertical="center"/>
    </xf>
    <xf numFmtId="9" fontId="39" fillId="17" borderId="6" xfId="4" applyFont="1" applyFill="1" applyBorder="1" applyAlignment="1">
      <alignment horizontal="center" vertical="center" wrapText="1"/>
    </xf>
    <xf numFmtId="2" fontId="42" fillId="17" borderId="0" xfId="4" applyNumberFormat="1" applyFont="1" applyFill="1" applyBorder="1" applyAlignment="1">
      <alignment horizontal="center" vertical="center" wrapText="1"/>
    </xf>
    <xf numFmtId="3" fontId="8" fillId="16" borderId="0" xfId="10" applyNumberFormat="1" applyFill="1"/>
    <xf numFmtId="3" fontId="8" fillId="5" borderId="38" xfId="10" applyNumberFormat="1" applyFill="1" applyBorder="1" applyAlignment="1">
      <alignment vertical="center"/>
    </xf>
    <xf numFmtId="3" fontId="8" fillId="16" borderId="40" xfId="10" applyNumberFormat="1" applyFill="1" applyBorder="1"/>
    <xf numFmtId="3" fontId="8" fillId="16" borderId="45" xfId="10" applyNumberFormat="1" applyFill="1" applyBorder="1"/>
    <xf numFmtId="0" fontId="77" fillId="0" borderId="0" xfId="0" applyFont="1"/>
    <xf numFmtId="0" fontId="78" fillId="25" borderId="29" xfId="0" applyFont="1" applyFill="1" applyBorder="1" applyAlignment="1">
      <alignment vertical="center"/>
    </xf>
    <xf numFmtId="0" fontId="78" fillId="25" borderId="33" xfId="0" applyFont="1" applyFill="1" applyBorder="1" applyAlignment="1">
      <alignment horizontal="right" vertical="center"/>
    </xf>
    <xf numFmtId="0" fontId="78" fillId="25" borderId="135" xfId="0" applyFont="1" applyFill="1" applyBorder="1" applyAlignment="1">
      <alignment horizontal="right" vertical="center" wrapText="1"/>
    </xf>
    <xf numFmtId="0" fontId="78" fillId="25" borderId="136" xfId="0" applyFont="1" applyFill="1" applyBorder="1" applyAlignment="1">
      <alignment horizontal="right" vertical="center" wrapText="1"/>
    </xf>
    <xf numFmtId="0" fontId="79" fillId="0" borderId="13" xfId="0" applyFont="1" applyBorder="1" applyAlignment="1">
      <alignment vertical="center"/>
    </xf>
    <xf numFmtId="3" fontId="79" fillId="0" borderId="137" xfId="0" applyNumberFormat="1" applyFont="1" applyBorder="1" applyAlignment="1">
      <alignment horizontal="right" vertical="center" wrapText="1"/>
    </xf>
    <xf numFmtId="3" fontId="79" fillId="0" borderId="138" xfId="0" applyNumberFormat="1" applyFont="1" applyBorder="1" applyAlignment="1">
      <alignment horizontal="right" vertical="center" wrapText="1"/>
    </xf>
    <xf numFmtId="0" fontId="79" fillId="0" borderId="25" xfId="0" applyFont="1" applyBorder="1" applyAlignment="1">
      <alignment vertical="center"/>
    </xf>
    <xf numFmtId="3" fontId="78" fillId="5" borderId="137" xfId="0" applyNumberFormat="1" applyFont="1" applyFill="1" applyBorder="1" applyAlignment="1">
      <alignment horizontal="right" vertical="center" wrapText="1"/>
    </xf>
    <xf numFmtId="3" fontId="79" fillId="0" borderId="2" xfId="0" applyNumberFormat="1" applyFont="1" applyBorder="1" applyAlignment="1">
      <alignment horizontal="right" vertical="center"/>
    </xf>
    <xf numFmtId="3" fontId="79" fillId="0" borderId="38" xfId="0" applyNumberFormat="1" applyFont="1" applyBorder="1" applyAlignment="1">
      <alignment horizontal="right" vertical="center"/>
    </xf>
    <xf numFmtId="3" fontId="79" fillId="0" borderId="13" xfId="0" applyNumberFormat="1" applyFont="1" applyBorder="1" applyAlignment="1">
      <alignment horizontal="right" vertical="center"/>
    </xf>
    <xf numFmtId="3" fontId="79" fillId="0" borderId="138" xfId="0" applyNumberFormat="1" applyFont="1" applyBorder="1" applyAlignment="1">
      <alignment horizontal="right" vertical="center"/>
    </xf>
    <xf numFmtId="3" fontId="79" fillId="0" borderId="0" xfId="0" applyNumberFormat="1" applyFont="1" applyAlignment="1">
      <alignment horizontal="right" vertical="center"/>
    </xf>
    <xf numFmtId="3" fontId="79" fillId="0" borderId="25" xfId="0" applyNumberFormat="1" applyFont="1" applyBorder="1" applyAlignment="1">
      <alignment horizontal="right" vertical="center"/>
    </xf>
    <xf numFmtId="3" fontId="78" fillId="5" borderId="138" xfId="0" applyNumberFormat="1" applyFont="1" applyFill="1" applyBorder="1" applyAlignment="1">
      <alignment horizontal="right" vertical="center"/>
    </xf>
    <xf numFmtId="3" fontId="78" fillId="5" borderId="94" xfId="0" applyNumberFormat="1" applyFont="1" applyFill="1" applyBorder="1" applyAlignment="1">
      <alignment horizontal="right" vertical="center"/>
    </xf>
    <xf numFmtId="3" fontId="78" fillId="5" borderId="29" xfId="0" applyNumberFormat="1" applyFont="1" applyFill="1" applyBorder="1" applyAlignment="1">
      <alignment horizontal="right" vertical="center"/>
    </xf>
    <xf numFmtId="3" fontId="21" fillId="7" borderId="0" xfId="0" applyNumberFormat="1" applyFont="1" applyFill="1" applyAlignment="1">
      <alignment horizontal="right" vertical="center"/>
    </xf>
    <xf numFmtId="167" fontId="21" fillId="5" borderId="0" xfId="0" applyNumberFormat="1" applyFont="1" applyFill="1" applyAlignment="1">
      <alignment horizontal="right" vertical="center"/>
    </xf>
    <xf numFmtId="167" fontId="13" fillId="4" borderId="0" xfId="0" applyNumberFormat="1" applyFont="1" applyFill="1" applyAlignment="1">
      <alignment vertical="center" wrapText="1"/>
    </xf>
    <xf numFmtId="2" fontId="10" fillId="0" borderId="0" xfId="0" applyNumberFormat="1" applyFont="1" applyAlignment="1">
      <alignment horizontal="right" vertical="center"/>
    </xf>
    <xf numFmtId="167" fontId="16" fillId="3" borderId="1" xfId="0" applyNumberFormat="1" applyFont="1" applyFill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167" fontId="16" fillId="0" borderId="1" xfId="0" applyNumberFormat="1" applyFont="1" applyBorder="1" applyAlignment="1">
      <alignment horizontal="right" vertical="center"/>
    </xf>
    <xf numFmtId="1" fontId="16" fillId="0" borderId="0" xfId="0" applyNumberFormat="1" applyFont="1" applyAlignment="1">
      <alignment horizontal="right" vertical="center"/>
    </xf>
    <xf numFmtId="1" fontId="28" fillId="19" borderId="0" xfId="0" applyNumberFormat="1" applyFont="1" applyFill="1"/>
    <xf numFmtId="0" fontId="80" fillId="19" borderId="0" xfId="0" applyFont="1" applyFill="1"/>
    <xf numFmtId="164" fontId="10" fillId="0" borderId="1" xfId="0" applyNumberFormat="1" applyFont="1" applyBorder="1" applyAlignment="1">
      <alignment horizontal="right" vertical="center"/>
    </xf>
    <xf numFmtId="172" fontId="10" fillId="0" borderId="0" xfId="0" applyNumberFormat="1" applyFont="1" applyAlignment="1">
      <alignment horizontal="right" vertical="center"/>
    </xf>
    <xf numFmtId="0" fontId="28" fillId="19" borderId="0" xfId="0" applyFont="1" applyFill="1"/>
    <xf numFmtId="2" fontId="21" fillId="7" borderId="0" xfId="0" applyNumberFormat="1" applyFont="1" applyFill="1" applyAlignment="1">
      <alignment horizontal="right" vertical="center"/>
    </xf>
    <xf numFmtId="3" fontId="80" fillId="19" borderId="0" xfId="0" applyNumberFormat="1" applyFont="1" applyFill="1"/>
    <xf numFmtId="4" fontId="80" fillId="19" borderId="0" xfId="0" applyNumberFormat="1" applyFont="1" applyFill="1"/>
    <xf numFmtId="0" fontId="81" fillId="19" borderId="0" xfId="0" applyFont="1" applyFill="1" applyAlignment="1">
      <alignment horizontal="right"/>
    </xf>
    <xf numFmtId="0" fontId="31" fillId="19" borderId="0" xfId="0" quotePrefix="1" applyFont="1" applyFill="1" applyAlignment="1" applyProtection="1">
      <alignment horizontal="center"/>
      <protection locked="0"/>
    </xf>
    <xf numFmtId="0" fontId="59" fillId="19" borderId="0" xfId="0" applyFont="1" applyFill="1" applyProtection="1">
      <protection locked="0"/>
    </xf>
    <xf numFmtId="0" fontId="82" fillId="26" borderId="0" xfId="0" applyFont="1" applyFill="1"/>
    <xf numFmtId="1" fontId="33" fillId="0" borderId="0" xfId="0" applyNumberFormat="1" applyFont="1"/>
    <xf numFmtId="181" fontId="39" fillId="5" borderId="31" xfId="20" applyNumberFormat="1" applyFont="1" applyFill="1" applyBorder="1" applyAlignment="1">
      <alignment vertical="center"/>
    </xf>
    <xf numFmtId="182" fontId="39" fillId="5" borderId="31" xfId="10" applyNumberFormat="1" applyFont="1" applyFill="1" applyBorder="1" applyAlignment="1">
      <alignment vertical="center"/>
    </xf>
    <xf numFmtId="167" fontId="0" fillId="0" borderId="0" xfId="0" applyNumberFormat="1"/>
    <xf numFmtId="180" fontId="0" fillId="0" borderId="0" xfId="0" applyNumberFormat="1"/>
    <xf numFmtId="183" fontId="0" fillId="0" borderId="0" xfId="0" applyNumberFormat="1"/>
    <xf numFmtId="173" fontId="8" fillId="16" borderId="77" xfId="10" applyNumberFormat="1" applyFill="1" applyBorder="1"/>
    <xf numFmtId="173" fontId="8" fillId="16" borderId="82" xfId="10" applyNumberFormat="1" applyFill="1" applyBorder="1"/>
    <xf numFmtId="173" fontId="8" fillId="17" borderId="82" xfId="10" applyNumberFormat="1" applyFill="1" applyBorder="1"/>
    <xf numFmtId="173" fontId="8" fillId="16" borderId="91" xfId="10" applyNumberFormat="1" applyFill="1" applyBorder="1"/>
    <xf numFmtId="173" fontId="8" fillId="5" borderId="94" xfId="10" applyNumberFormat="1" applyFill="1" applyBorder="1" applyAlignment="1">
      <alignment vertical="center"/>
    </xf>
    <xf numFmtId="179" fontId="10" fillId="0" borderId="0" xfId="0" applyNumberFormat="1" applyFont="1" applyAlignment="1">
      <alignment horizontal="right" vertical="center"/>
    </xf>
    <xf numFmtId="0" fontId="25" fillId="0" borderId="0" xfId="6" applyBorder="1" applyAlignment="1"/>
    <xf numFmtId="0" fontId="25" fillId="0" borderId="0" xfId="6" applyAlignment="1"/>
    <xf numFmtId="1" fontId="17" fillId="19" borderId="0" xfId="0" applyNumberFormat="1" applyFont="1" applyFill="1"/>
    <xf numFmtId="2" fontId="17" fillId="19" borderId="0" xfId="0" applyNumberFormat="1" applyFont="1" applyFill="1"/>
    <xf numFmtId="4" fontId="17" fillId="19" borderId="0" xfId="0" applyNumberFormat="1" applyFont="1" applyFill="1"/>
    <xf numFmtId="0" fontId="17" fillId="19" borderId="0" xfId="0" applyFont="1" applyFill="1"/>
    <xf numFmtId="0" fontId="91" fillId="46" borderId="0" xfId="0" applyFont="1" applyFill="1" applyAlignment="1">
      <alignment horizontal="left" vertical="top" wrapText="1"/>
    </xf>
    <xf numFmtId="3" fontId="91" fillId="46" borderId="0" xfId="0" applyNumberFormat="1" applyFont="1" applyFill="1" applyAlignment="1">
      <alignment horizontal="left" vertical="top" wrapText="1"/>
    </xf>
    <xf numFmtId="9" fontId="91" fillId="46" borderId="0" xfId="0" applyNumberFormat="1" applyFont="1" applyFill="1" applyAlignment="1">
      <alignment horizontal="left" vertical="top" wrapText="1"/>
    </xf>
    <xf numFmtId="0" fontId="91" fillId="48" borderId="0" xfId="0" applyFont="1" applyFill="1" applyAlignment="1">
      <alignment horizontal="left" vertical="top" wrapText="1"/>
    </xf>
    <xf numFmtId="9" fontId="91" fillId="48" borderId="0" xfId="0" applyNumberFormat="1" applyFont="1" applyFill="1" applyAlignment="1">
      <alignment horizontal="left" vertical="top" wrapText="1"/>
    </xf>
    <xf numFmtId="3" fontId="91" fillId="48" borderId="0" xfId="0" applyNumberFormat="1" applyFont="1" applyFill="1" applyAlignment="1">
      <alignment horizontal="left" vertical="top" wrapText="1"/>
    </xf>
    <xf numFmtId="0" fontId="92" fillId="47" borderId="0" xfId="0" applyFont="1" applyFill="1" applyAlignment="1">
      <alignment horizontal="left" vertical="center" wrapText="1"/>
    </xf>
    <xf numFmtId="0" fontId="39" fillId="0" borderId="95" xfId="19" applyBorder="1" applyAlignment="1">
      <alignment vertical="top"/>
    </xf>
    <xf numFmtId="0" fontId="39" fillId="0" borderId="79" xfId="19" applyBorder="1" applyAlignment="1">
      <alignment vertical="top"/>
    </xf>
    <xf numFmtId="3" fontId="39" fillId="16" borderId="121" xfId="19" applyNumberFormat="1" applyFill="1" applyBorder="1" applyAlignment="1">
      <alignment vertical="center"/>
    </xf>
    <xf numFmtId="3" fontId="39" fillId="16" borderId="122" xfId="19" applyNumberFormat="1" applyFill="1" applyBorder="1" applyAlignment="1">
      <alignment vertical="center"/>
    </xf>
    <xf numFmtId="3" fontId="39" fillId="16" borderId="106" xfId="19" applyNumberFormat="1" applyFill="1" applyBorder="1" applyAlignment="1">
      <alignment vertical="center"/>
    </xf>
    <xf numFmtId="3" fontId="39" fillId="16" borderId="82" xfId="19" applyNumberFormat="1" applyFill="1" applyBorder="1" applyAlignment="1">
      <alignment vertical="center"/>
    </xf>
    <xf numFmtId="3" fontId="39" fillId="16" borderId="83" xfId="19" applyNumberFormat="1" applyFill="1" applyBorder="1" applyAlignment="1">
      <alignment vertical="center"/>
    </xf>
    <xf numFmtId="3" fontId="39" fillId="16" borderId="77" xfId="19" applyNumberFormat="1" applyFill="1" applyBorder="1" applyAlignment="1">
      <alignment vertical="center"/>
    </xf>
    <xf numFmtId="3" fontId="39" fillId="16" borderId="78" xfId="19" applyNumberFormat="1" applyFill="1" applyBorder="1" applyAlignment="1">
      <alignment vertical="center"/>
    </xf>
    <xf numFmtId="3" fontId="66" fillId="5" borderId="94" xfId="19" applyNumberFormat="1" applyFont="1" applyFill="1" applyBorder="1" applyAlignment="1">
      <alignment vertical="center"/>
    </xf>
    <xf numFmtId="3" fontId="18" fillId="16" borderId="121" xfId="19" applyNumberFormat="1" applyFont="1" applyFill="1" applyBorder="1" applyAlignment="1">
      <alignment vertical="center"/>
    </xf>
    <xf numFmtId="3" fontId="18" fillId="16" borderId="122" xfId="19" applyNumberFormat="1" applyFont="1" applyFill="1" applyBorder="1" applyAlignment="1">
      <alignment vertical="center"/>
    </xf>
    <xf numFmtId="3" fontId="18" fillId="16" borderId="106" xfId="19" applyNumberFormat="1" applyFont="1" applyFill="1" applyBorder="1" applyAlignment="1">
      <alignment vertical="center"/>
    </xf>
    <xf numFmtId="3" fontId="18" fillId="16" borderId="82" xfId="19" applyNumberFormat="1" applyFont="1" applyFill="1" applyBorder="1" applyAlignment="1">
      <alignment vertical="center"/>
    </xf>
    <xf numFmtId="3" fontId="18" fillId="16" borderId="83" xfId="19" applyNumberFormat="1" applyFont="1" applyFill="1" applyBorder="1" applyAlignment="1">
      <alignment vertical="center"/>
    </xf>
    <xf numFmtId="3" fontId="50" fillId="5" borderId="31" xfId="19" applyNumberFormat="1" applyFont="1" applyFill="1" applyBorder="1" applyAlignment="1">
      <alignment vertical="center"/>
    </xf>
    <xf numFmtId="3" fontId="70" fillId="5" borderId="31" xfId="19" applyNumberFormat="1" applyFont="1" applyFill="1" applyBorder="1" applyAlignment="1">
      <alignment vertical="center"/>
    </xf>
    <xf numFmtId="168" fontId="19" fillId="16" borderId="99" xfId="18" applyNumberFormat="1" applyFont="1" applyFill="1" applyBorder="1" applyAlignment="1">
      <alignment vertical="center"/>
    </xf>
    <xf numFmtId="3" fontId="39" fillId="16" borderId="91" xfId="19" applyNumberFormat="1" applyFill="1" applyBorder="1" applyAlignment="1">
      <alignment vertical="center"/>
    </xf>
    <xf numFmtId="0" fontId="78" fillId="5" borderId="13" xfId="0" applyFont="1" applyFill="1" applyBorder="1" applyAlignment="1">
      <alignment vertical="center"/>
    </xf>
    <xf numFmtId="0" fontId="78" fillId="25" borderId="2" xfId="0" applyFont="1" applyFill="1" applyBorder="1" applyAlignment="1">
      <alignment horizontal="right" vertical="center"/>
    </xf>
    <xf numFmtId="0" fontId="79" fillId="0" borderId="13" xfId="0" applyFont="1" applyBorder="1" applyAlignment="1">
      <alignment horizontal="right" vertical="center"/>
    </xf>
    <xf numFmtId="0" fontId="79" fillId="0" borderId="2" xfId="0" applyFont="1" applyBorder="1" applyAlignment="1">
      <alignment horizontal="right" vertical="center"/>
    </xf>
    <xf numFmtId="0" fontId="79" fillId="0" borderId="38" xfId="0" applyFont="1" applyBorder="1" applyAlignment="1">
      <alignment horizontal="right" vertical="center"/>
    </xf>
    <xf numFmtId="0" fontId="79" fillId="0" borderId="138" xfId="0" applyFont="1" applyBorder="1" applyAlignment="1">
      <alignment vertical="center"/>
    </xf>
    <xf numFmtId="0" fontId="79" fillId="0" borderId="137" xfId="0" applyFont="1" applyBorder="1" applyAlignment="1">
      <alignment horizontal="right" vertical="center"/>
    </xf>
    <xf numFmtId="0" fontId="79" fillId="0" borderId="137" xfId="0" applyFont="1" applyBorder="1" applyAlignment="1">
      <alignment vertical="center"/>
    </xf>
    <xf numFmtId="0" fontId="79" fillId="0" borderId="137" xfId="0" applyFont="1" applyBorder="1" applyAlignment="1">
      <alignment horizontal="right" vertical="center" wrapText="1"/>
    </xf>
    <xf numFmtId="0" fontId="78" fillId="5" borderId="13" xfId="0" applyFont="1" applyFill="1" applyBorder="1" applyAlignment="1">
      <alignment horizontal="right" vertical="center"/>
    </xf>
    <xf numFmtId="0" fontId="78" fillId="5" borderId="138" xfId="0" applyFont="1" applyFill="1" applyBorder="1" applyAlignment="1">
      <alignment horizontal="right" vertical="center"/>
    </xf>
    <xf numFmtId="0" fontId="78" fillId="5" borderId="38" xfId="0" applyFont="1" applyFill="1" applyBorder="1" applyAlignment="1">
      <alignment horizontal="right" vertical="center"/>
    </xf>
    <xf numFmtId="0" fontId="79" fillId="0" borderId="38" xfId="0" applyFont="1" applyBorder="1" applyAlignment="1">
      <alignment vertical="center"/>
    </xf>
    <xf numFmtId="3" fontId="79" fillId="0" borderId="137" xfId="0" applyNumberFormat="1" applyFont="1" applyBorder="1" applyAlignment="1">
      <alignment horizontal="right" vertical="center"/>
    </xf>
    <xf numFmtId="3" fontId="79" fillId="0" borderId="142" xfId="0" applyNumberFormat="1" applyFont="1" applyBorder="1" applyAlignment="1">
      <alignment horizontal="right" vertical="center"/>
    </xf>
    <xf numFmtId="3" fontId="79" fillId="0" borderId="143" xfId="0" applyNumberFormat="1" applyFont="1" applyBorder="1" applyAlignment="1">
      <alignment horizontal="right" vertical="center"/>
    </xf>
    <xf numFmtId="3" fontId="78" fillId="5" borderId="13" xfId="0" applyNumberFormat="1" applyFont="1" applyFill="1" applyBorder="1" applyAlignment="1">
      <alignment vertical="center"/>
    </xf>
    <xf numFmtId="0" fontId="79" fillId="0" borderId="0" xfId="0" applyFont="1" applyAlignment="1">
      <alignment vertical="center"/>
    </xf>
    <xf numFmtId="0" fontId="78" fillId="5" borderId="94" xfId="0" applyFont="1" applyFill="1" applyBorder="1" applyAlignment="1">
      <alignment vertical="center"/>
    </xf>
    <xf numFmtId="0" fontId="78" fillId="25" borderId="38" xfId="0" applyFont="1" applyFill="1" applyBorder="1" applyAlignment="1">
      <alignment vertical="center"/>
    </xf>
    <xf numFmtId="0" fontId="78" fillId="5" borderId="33" xfId="0" applyFont="1" applyFill="1" applyBorder="1" applyAlignment="1">
      <alignment vertical="center"/>
    </xf>
    <xf numFmtId="0" fontId="78" fillId="5" borderId="25" xfId="0" applyFont="1" applyFill="1" applyBorder="1" applyAlignment="1">
      <alignment vertical="center"/>
    </xf>
    <xf numFmtId="3" fontId="78" fillId="5" borderId="189" xfId="0" applyNumberFormat="1" applyFont="1" applyFill="1" applyBorder="1" applyAlignment="1">
      <alignment horizontal="right" vertical="center"/>
    </xf>
    <xf numFmtId="3" fontId="78" fillId="5" borderId="142" xfId="0" applyNumberFormat="1" applyFont="1" applyFill="1" applyBorder="1" applyAlignment="1">
      <alignment horizontal="right" vertical="center" wrapText="1"/>
    </xf>
    <xf numFmtId="0" fontId="78" fillId="25" borderId="0" xfId="0" applyFont="1" applyFill="1" applyAlignment="1">
      <alignment horizontal="left" vertical="center"/>
    </xf>
    <xf numFmtId="0" fontId="78" fillId="25" borderId="187" xfId="0" applyFont="1" applyFill="1" applyBorder="1" applyAlignment="1">
      <alignment horizontal="left" vertical="center" wrapText="1"/>
    </xf>
    <xf numFmtId="0" fontId="78" fillId="25" borderId="188" xfId="0" applyFont="1" applyFill="1" applyBorder="1" applyAlignment="1">
      <alignment horizontal="left" vertical="center" wrapText="1"/>
    </xf>
    <xf numFmtId="10" fontId="21" fillId="7" borderId="0" xfId="0" applyNumberFormat="1" applyFont="1" applyFill="1" applyAlignment="1">
      <alignment horizontal="right" vertical="center"/>
    </xf>
    <xf numFmtId="0" fontId="30" fillId="0" borderId="190" xfId="0" applyFont="1" applyBorder="1" applyAlignment="1">
      <alignment horizontal="center"/>
    </xf>
    <xf numFmtId="0" fontId="30" fillId="0" borderId="137" xfId="0" applyFont="1" applyBorder="1" applyAlignment="1">
      <alignment horizontal="center"/>
    </xf>
    <xf numFmtId="3" fontId="0" fillId="0" borderId="191" xfId="0" applyNumberFormat="1" applyBorder="1"/>
    <xf numFmtId="3" fontId="0" fillId="0" borderId="192" xfId="0" applyNumberFormat="1" applyBorder="1"/>
    <xf numFmtId="3" fontId="0" fillId="0" borderId="142" xfId="0" applyNumberFormat="1" applyBorder="1"/>
    <xf numFmtId="3" fontId="0" fillId="5" borderId="192" xfId="0" applyNumberFormat="1" applyFill="1" applyBorder="1"/>
    <xf numFmtId="3" fontId="0" fillId="5" borderId="143" xfId="0" applyNumberFormat="1" applyFill="1" applyBorder="1"/>
    <xf numFmtId="3" fontId="91" fillId="46" borderId="194" xfId="0" applyNumberFormat="1" applyFont="1" applyFill="1" applyBorder="1" applyAlignment="1">
      <alignment horizontal="left" vertical="top" wrapText="1"/>
    </xf>
    <xf numFmtId="9" fontId="91" fillId="46" borderId="194" xfId="0" applyNumberFormat="1" applyFont="1" applyFill="1" applyBorder="1" applyAlignment="1">
      <alignment horizontal="left" vertical="top" wrapText="1"/>
    </xf>
    <xf numFmtId="0" fontId="91" fillId="46" borderId="194" xfId="0" applyFont="1" applyFill="1" applyBorder="1" applyAlignment="1">
      <alignment horizontal="left" vertical="top" wrapText="1"/>
    </xf>
    <xf numFmtId="0" fontId="91" fillId="48" borderId="194" xfId="0" applyFont="1" applyFill="1" applyBorder="1" applyAlignment="1">
      <alignment horizontal="left" vertical="top" wrapText="1"/>
    </xf>
    <xf numFmtId="9" fontId="91" fillId="48" borderId="194" xfId="0" applyNumberFormat="1" applyFont="1" applyFill="1" applyBorder="1" applyAlignment="1">
      <alignment horizontal="left" vertical="top" wrapText="1"/>
    </xf>
    <xf numFmtId="3" fontId="91" fillId="48" borderId="194" xfId="0" applyNumberFormat="1" applyFont="1" applyFill="1" applyBorder="1" applyAlignment="1">
      <alignment horizontal="left" vertical="top" wrapText="1"/>
    </xf>
    <xf numFmtId="0" fontId="137" fillId="47" borderId="194" xfId="0" applyFont="1" applyFill="1" applyBorder="1" applyAlignment="1">
      <alignment horizontal="left" vertical="top" wrapText="1"/>
    </xf>
    <xf numFmtId="0" fontId="137" fillId="47" borderId="193" xfId="0" applyFont="1" applyFill="1" applyBorder="1" applyAlignment="1">
      <alignment horizontal="left" vertical="top" wrapText="1"/>
    </xf>
    <xf numFmtId="0" fontId="137" fillId="47" borderId="195" xfId="0" applyFont="1" applyFill="1" applyBorder="1" applyAlignment="1">
      <alignment horizontal="left" vertical="top" wrapText="1"/>
    </xf>
    <xf numFmtId="3" fontId="91" fillId="46" borderId="196" xfId="0" applyNumberFormat="1" applyFont="1" applyFill="1" applyBorder="1" applyAlignment="1">
      <alignment horizontal="left" vertical="top" wrapText="1"/>
    </xf>
    <xf numFmtId="3" fontId="91" fillId="48" borderId="196" xfId="0" applyNumberFormat="1" applyFont="1" applyFill="1" applyBorder="1" applyAlignment="1">
      <alignment horizontal="left" vertical="top" wrapText="1"/>
    </xf>
    <xf numFmtId="0" fontId="91" fillId="48" borderId="196" xfId="0" applyFont="1" applyFill="1" applyBorder="1" applyAlignment="1">
      <alignment horizontal="left" vertical="top" wrapText="1"/>
    </xf>
    <xf numFmtId="0" fontId="91" fillId="46" borderId="197" xfId="0" applyFont="1" applyFill="1" applyBorder="1" applyAlignment="1">
      <alignment horizontal="left" vertical="top" wrapText="1"/>
    </xf>
    <xf numFmtId="3" fontId="91" fillId="46" borderId="197" xfId="0" applyNumberFormat="1" applyFont="1" applyFill="1" applyBorder="1" applyAlignment="1">
      <alignment horizontal="left" vertical="top" wrapText="1"/>
    </xf>
    <xf numFmtId="9" fontId="91" fillId="46" borderId="197" xfId="0" applyNumberFormat="1" applyFont="1" applyFill="1" applyBorder="1" applyAlignment="1">
      <alignment horizontal="left" vertical="top" wrapText="1"/>
    </xf>
    <xf numFmtId="3" fontId="91" fillId="46" borderId="198" xfId="0" applyNumberFormat="1" applyFont="1" applyFill="1" applyBorder="1" applyAlignment="1">
      <alignment horizontal="left" vertical="top" wrapText="1"/>
    </xf>
    <xf numFmtId="0" fontId="138" fillId="46" borderId="0" xfId="0" applyFont="1" applyFill="1" applyAlignment="1">
      <alignment horizontal="left" vertical="top" wrapText="1"/>
    </xf>
    <xf numFmtId="3" fontId="138" fillId="46" borderId="0" xfId="0" applyNumberFormat="1" applyFont="1" applyFill="1" applyAlignment="1">
      <alignment horizontal="left" vertical="top" wrapText="1"/>
    </xf>
    <xf numFmtId="0" fontId="19" fillId="0" borderId="0" xfId="0" applyFont="1"/>
    <xf numFmtId="3" fontId="39" fillId="5" borderId="31" xfId="544" applyNumberFormat="1" applyFill="1" applyBorder="1" applyAlignment="1">
      <alignment vertical="center"/>
    </xf>
    <xf numFmtId="3" fontId="39" fillId="16" borderId="121" xfId="544" applyNumberFormat="1" applyFill="1" applyBorder="1" applyAlignment="1">
      <alignment vertical="center"/>
    </xf>
    <xf numFmtId="3" fontId="39" fillId="16" borderId="122" xfId="544" applyNumberFormat="1" applyFill="1" applyBorder="1" applyAlignment="1">
      <alignment vertical="center"/>
    </xf>
    <xf numFmtId="3" fontId="39" fillId="16" borderId="106" xfId="544" applyNumberFormat="1" applyFill="1" applyBorder="1" applyAlignment="1">
      <alignment vertical="center"/>
    </xf>
    <xf numFmtId="3" fontId="39" fillId="16" borderId="82" xfId="544" applyNumberFormat="1" applyFill="1" applyBorder="1" applyAlignment="1">
      <alignment vertical="center"/>
    </xf>
    <xf numFmtId="3" fontId="39" fillId="16" borderId="83" xfId="544" applyNumberFormat="1" applyFill="1" applyBorder="1" applyAlignment="1">
      <alignment vertical="center"/>
    </xf>
    <xf numFmtId="168" fontId="39" fillId="16" borderId="77" xfId="18" applyNumberFormat="1" applyFont="1" applyFill="1" applyBorder="1" applyAlignment="1">
      <alignment vertical="center"/>
    </xf>
    <xf numFmtId="168" fontId="39" fillId="16" borderId="119" xfId="18" applyNumberFormat="1" applyFont="1" applyFill="1" applyBorder="1" applyAlignment="1">
      <alignment vertical="center"/>
    </xf>
    <xf numFmtId="168" fontId="39" fillId="16" borderId="75" xfId="18" applyNumberFormat="1" applyFont="1" applyFill="1" applyBorder="1" applyAlignment="1">
      <alignment vertical="center"/>
    </xf>
    <xf numFmtId="168" fontId="39" fillId="16" borderId="117" xfId="18" applyNumberFormat="1" applyFont="1" applyFill="1" applyBorder="1" applyAlignment="1">
      <alignment vertical="center"/>
    </xf>
    <xf numFmtId="168" fontId="39" fillId="16" borderId="123" xfId="18" applyNumberFormat="1" applyFont="1" applyFill="1" applyBorder="1" applyAlignment="1">
      <alignment vertical="center"/>
    </xf>
    <xf numFmtId="3" fontId="39" fillId="16" borderId="77" xfId="544" applyNumberFormat="1" applyFill="1" applyBorder="1" applyAlignment="1">
      <alignment vertical="center"/>
    </xf>
    <xf numFmtId="3" fontId="39" fillId="16" borderId="78" xfId="544" applyNumberFormat="1" applyFill="1" applyBorder="1" applyAlignment="1">
      <alignment vertical="center"/>
    </xf>
    <xf numFmtId="3" fontId="66" fillId="5" borderId="94" xfId="544" applyNumberFormat="1" applyFont="1" applyFill="1" applyBorder="1" applyAlignment="1">
      <alignment vertical="center"/>
    </xf>
    <xf numFmtId="0" fontId="39" fillId="0" borderId="95" xfId="544" applyBorder="1" applyAlignment="1">
      <alignment vertical="top"/>
    </xf>
    <xf numFmtId="0" fontId="39" fillId="0" borderId="79" xfId="544" applyBorder="1" applyAlignment="1">
      <alignment vertical="top"/>
    </xf>
    <xf numFmtId="3" fontId="70" fillId="5" borderId="31" xfId="544" applyNumberFormat="1" applyFont="1" applyFill="1" applyBorder="1" applyAlignment="1">
      <alignment vertical="center"/>
    </xf>
    <xf numFmtId="3" fontId="39" fillId="16" borderId="91" xfId="544" applyNumberFormat="1" applyFill="1" applyBorder="1" applyAlignment="1">
      <alignment vertical="center"/>
    </xf>
    <xf numFmtId="168" fontId="140" fillId="16" borderId="124" xfId="18" applyNumberFormat="1" applyFont="1" applyFill="1" applyBorder="1" applyAlignment="1">
      <alignment vertical="center"/>
    </xf>
    <xf numFmtId="168" fontId="140" fillId="16" borderId="88" xfId="18" applyNumberFormat="1" applyFont="1" applyFill="1" applyBorder="1" applyAlignment="1">
      <alignment vertical="center"/>
    </xf>
    <xf numFmtId="168" fontId="140" fillId="16" borderId="114" xfId="18" applyNumberFormat="1" applyFont="1" applyFill="1" applyBorder="1" applyAlignment="1">
      <alignment vertical="center"/>
    </xf>
    <xf numFmtId="168" fontId="140" fillId="16" borderId="125" xfId="18" applyNumberFormat="1" applyFont="1" applyFill="1" applyBorder="1" applyAlignment="1">
      <alignment vertical="center"/>
    </xf>
    <xf numFmtId="168" fontId="140" fillId="16" borderId="91" xfId="18" applyNumberFormat="1" applyFont="1" applyFill="1" applyBorder="1" applyAlignment="1">
      <alignment vertical="center"/>
    </xf>
    <xf numFmtId="3" fontId="24" fillId="16" borderId="80" xfId="10" applyNumberFormat="1" applyFont="1" applyFill="1" applyBorder="1"/>
    <xf numFmtId="3" fontId="24" fillId="16" borderId="88" xfId="10" applyNumberFormat="1" applyFont="1" applyFill="1" applyBorder="1"/>
    <xf numFmtId="0" fontId="139" fillId="0" borderId="0" xfId="0" applyFont="1"/>
    <xf numFmtId="0" fontId="39" fillId="0" borderId="0" xfId="0" applyFont="1"/>
    <xf numFmtId="3" fontId="0" fillId="5" borderId="191" xfId="0" applyNumberFormat="1" applyFill="1" applyBorder="1"/>
    <xf numFmtId="3" fontId="0" fillId="5" borderId="142" xfId="0" applyNumberFormat="1" applyFill="1" applyBorder="1"/>
    <xf numFmtId="175" fontId="30" fillId="5" borderId="32" xfId="0" applyNumberFormat="1" applyFont="1" applyFill="1" applyBorder="1"/>
    <xf numFmtId="2" fontId="141" fillId="0" borderId="0" xfId="0" applyNumberFormat="1" applyFont="1" applyAlignment="1">
      <alignment horizontal="right" vertical="center"/>
    </xf>
    <xf numFmtId="179" fontId="141" fillId="0" borderId="0" xfId="0" applyNumberFormat="1" applyFont="1" applyAlignment="1">
      <alignment horizontal="right" vertical="center"/>
    </xf>
    <xf numFmtId="9" fontId="21" fillId="7" borderId="0" xfId="2" applyFont="1" applyFill="1" applyAlignment="1">
      <alignment horizontal="right" vertical="center"/>
    </xf>
    <xf numFmtId="3" fontId="39" fillId="9" borderId="97" xfId="0" applyNumberFormat="1" applyFont="1" applyFill="1" applyBorder="1"/>
    <xf numFmtId="3" fontId="39" fillId="9" borderId="128" xfId="0" applyNumberFormat="1" applyFont="1" applyFill="1" applyBorder="1"/>
    <xf numFmtId="3" fontId="39" fillId="9" borderId="72" xfId="0" applyNumberFormat="1" applyFont="1" applyFill="1" applyBorder="1"/>
    <xf numFmtId="3" fontId="39" fillId="14" borderId="31" xfId="0" applyNumberFormat="1" applyFont="1" applyFill="1" applyBorder="1"/>
    <xf numFmtId="3" fontId="39" fillId="14" borderId="93" xfId="0" applyNumberFormat="1" applyFont="1" applyFill="1" applyBorder="1"/>
    <xf numFmtId="10" fontId="39" fillId="14" borderId="93" xfId="0" applyNumberFormat="1" applyFont="1" applyFill="1" applyBorder="1"/>
    <xf numFmtId="10" fontId="39" fillId="14" borderId="94" xfId="0" applyNumberFormat="1" applyFont="1" applyFill="1" applyBorder="1"/>
    <xf numFmtId="0" fontId="70" fillId="14" borderId="112" xfId="0" applyFont="1" applyFill="1" applyBorder="1"/>
    <xf numFmtId="0" fontId="39" fillId="9" borderId="204" xfId="0" applyFont="1" applyFill="1" applyBorder="1" applyAlignment="1">
      <alignment horizontal="center" textRotation="90" wrapText="1"/>
    </xf>
    <xf numFmtId="0" fontId="39" fillId="9" borderId="205" xfId="0" applyFont="1" applyFill="1" applyBorder="1" applyAlignment="1">
      <alignment horizontal="center" textRotation="90" wrapText="1"/>
    </xf>
    <xf numFmtId="0" fontId="39" fillId="9" borderId="206" xfId="0" applyFont="1" applyFill="1" applyBorder="1" applyAlignment="1">
      <alignment horizontal="center" textRotation="90" wrapText="1"/>
    </xf>
    <xf numFmtId="0" fontId="42" fillId="11" borderId="211" xfId="0" applyFont="1" applyFill="1" applyBorder="1" applyAlignment="1">
      <alignment horizontal="left"/>
    </xf>
    <xf numFmtId="0" fontId="42" fillId="11" borderId="212" xfId="0" applyFont="1" applyFill="1" applyBorder="1" applyAlignment="1">
      <alignment horizontal="left"/>
    </xf>
    <xf numFmtId="0" fontId="42" fillId="9" borderId="204" xfId="0" applyFont="1" applyFill="1" applyBorder="1" applyAlignment="1">
      <alignment horizontal="center"/>
    </xf>
    <xf numFmtId="0" fontId="42" fillId="9" borderId="209" xfId="0" applyFont="1" applyFill="1" applyBorder="1" applyAlignment="1">
      <alignment horizontal="center"/>
    </xf>
    <xf numFmtId="0" fontId="42" fillId="9" borderId="206" xfId="0" applyFont="1" applyFill="1" applyBorder="1" applyAlignment="1">
      <alignment horizontal="center"/>
    </xf>
    <xf numFmtId="0" fontId="39" fillId="9" borderId="215" xfId="0" applyFont="1" applyFill="1" applyBorder="1" applyAlignment="1">
      <alignment horizontal="center"/>
    </xf>
    <xf numFmtId="0" fontId="8" fillId="17" borderId="204" xfId="10" applyFill="1" applyBorder="1" applyAlignment="1">
      <alignment horizontal="center" textRotation="90" wrapText="1"/>
    </xf>
    <xf numFmtId="0" fontId="8" fillId="17" borderId="205" xfId="10" applyFill="1" applyBorder="1" applyAlignment="1">
      <alignment horizontal="center" textRotation="90" wrapText="1"/>
    </xf>
    <xf numFmtId="0" fontId="39" fillId="17" borderId="206" xfId="10" applyFont="1" applyFill="1" applyBorder="1" applyAlignment="1">
      <alignment horizontal="center" textRotation="90" wrapText="1"/>
    </xf>
    <xf numFmtId="0" fontId="42" fillId="18" borderId="211" xfId="10" applyFont="1" applyFill="1" applyBorder="1" applyAlignment="1">
      <alignment horizontal="left"/>
    </xf>
    <xf numFmtId="0" fontId="42" fillId="18" borderId="212" xfId="10" applyFont="1" applyFill="1" applyBorder="1" applyAlignment="1">
      <alignment horizontal="left"/>
    </xf>
    <xf numFmtId="0" fontId="39" fillId="17" borderId="211" xfId="10" applyFont="1" applyFill="1" applyBorder="1" applyAlignment="1">
      <alignment horizontal="center"/>
    </xf>
    <xf numFmtId="0" fontId="39" fillId="17" borderId="213" xfId="10" applyFont="1" applyFill="1" applyBorder="1" applyAlignment="1">
      <alignment horizontal="center"/>
    </xf>
    <xf numFmtId="0" fontId="42" fillId="16" borderId="204" xfId="10" applyFont="1" applyFill="1" applyBorder="1" applyAlignment="1">
      <alignment horizontal="center"/>
    </xf>
    <xf numFmtId="0" fontId="42" fillId="16" borderId="209" xfId="10" applyFont="1" applyFill="1" applyBorder="1" applyAlignment="1">
      <alignment horizontal="center"/>
    </xf>
    <xf numFmtId="0" fontId="42" fillId="16" borderId="206" xfId="10" applyFont="1" applyFill="1" applyBorder="1" applyAlignment="1">
      <alignment horizontal="center"/>
    </xf>
    <xf numFmtId="0" fontId="39" fillId="17" borderId="207" xfId="10" applyFont="1" applyFill="1" applyBorder="1" applyAlignment="1">
      <alignment horizontal="center"/>
    </xf>
    <xf numFmtId="0" fontId="39" fillId="17" borderId="215" xfId="10" applyFont="1" applyFill="1" applyBorder="1" applyAlignment="1">
      <alignment horizontal="center"/>
    </xf>
    <xf numFmtId="0" fontId="39" fillId="16" borderId="209" xfId="10" applyFont="1" applyFill="1" applyBorder="1" applyAlignment="1">
      <alignment horizontal="center" textRotation="90" wrapText="1"/>
    </xf>
    <xf numFmtId="0" fontId="8" fillId="17" borderId="209" xfId="10" applyFill="1" applyBorder="1" applyAlignment="1">
      <alignment horizontal="center"/>
    </xf>
    <xf numFmtId="0" fontId="39" fillId="17" borderId="209" xfId="10" applyFont="1" applyFill="1" applyBorder="1" applyAlignment="1">
      <alignment horizontal="center" textRotation="90" wrapText="1"/>
    </xf>
    <xf numFmtId="0" fontId="62" fillId="16" borderId="216" xfId="15" applyFont="1" applyFill="1" applyBorder="1" applyAlignment="1">
      <alignment horizontal="center" vertical="center"/>
    </xf>
    <xf numFmtId="0" fontId="62" fillId="16" borderId="207" xfId="15" applyFont="1" applyFill="1" applyBorder="1" applyAlignment="1">
      <alignment horizontal="center" vertical="center"/>
    </xf>
    <xf numFmtId="0" fontId="62" fillId="16" borderId="210" xfId="15" applyFont="1" applyFill="1" applyBorder="1" applyAlignment="1">
      <alignment horizontal="center" vertical="center"/>
    </xf>
    <xf numFmtId="0" fontId="6" fillId="0" borderId="74" xfId="10" applyFont="1" applyBorder="1"/>
    <xf numFmtId="0" fontId="6" fillId="0" borderId="79" xfId="10" applyFont="1" applyBorder="1"/>
    <xf numFmtId="0" fontId="6" fillId="0" borderId="0" xfId="10" applyFont="1"/>
    <xf numFmtId="0" fontId="8" fillId="17" borderId="209" xfId="10" applyFill="1" applyBorder="1" applyAlignment="1">
      <alignment horizontal="center" textRotation="90" wrapText="1"/>
    </xf>
    <xf numFmtId="9" fontId="39" fillId="17" borderId="209" xfId="4" applyFont="1" applyFill="1" applyBorder="1" applyAlignment="1">
      <alignment horizontal="center" textRotation="90" wrapText="1"/>
    </xf>
    <xf numFmtId="0" fontId="8" fillId="17" borderId="217" xfId="10" applyFill="1" applyBorder="1" applyAlignment="1">
      <alignment horizontal="center" textRotation="90" wrapText="1"/>
    </xf>
    <xf numFmtId="0" fontId="6" fillId="17" borderId="50" xfId="10" applyFont="1" applyFill="1" applyBorder="1" applyAlignment="1">
      <alignment horizontal="center" textRotation="90" wrapText="1"/>
    </xf>
    <xf numFmtId="0" fontId="45" fillId="17" borderId="215" xfId="10" applyFont="1" applyFill="1" applyBorder="1" applyAlignment="1">
      <alignment horizontal="center"/>
    </xf>
    <xf numFmtId="0" fontId="144" fillId="0" borderId="218" xfId="0" applyFont="1" applyBorder="1"/>
    <xf numFmtId="10" fontId="0" fillId="0" borderId="218" xfId="0" applyNumberFormat="1" applyBorder="1"/>
    <xf numFmtId="177" fontId="0" fillId="0" borderId="218" xfId="0" applyNumberFormat="1" applyBorder="1"/>
    <xf numFmtId="2" fontId="17" fillId="0" borderId="218" xfId="0" applyNumberFormat="1" applyFont="1" applyBorder="1"/>
    <xf numFmtId="2" fontId="0" fillId="0" borderId="218" xfId="0" applyNumberFormat="1" applyBorder="1"/>
    <xf numFmtId="0" fontId="0" fillId="0" borderId="218" xfId="0" applyBorder="1"/>
    <xf numFmtId="0" fontId="17" fillId="0" borderId="218" xfId="0" applyFont="1" applyBorder="1"/>
    <xf numFmtId="0" fontId="61" fillId="16" borderId="4" xfId="15" applyFill="1" applyBorder="1" applyAlignment="1">
      <alignment horizontal="left" vertical="center" indent="1"/>
    </xf>
    <xf numFmtId="2" fontId="61" fillId="20" borderId="4" xfId="0" applyNumberFormat="1" applyFont="1" applyFill="1" applyBorder="1" applyAlignment="1">
      <alignment horizontal="right"/>
    </xf>
    <xf numFmtId="2" fontId="61" fillId="21" borderId="4" xfId="0" applyNumberFormat="1" applyFont="1" applyFill="1" applyBorder="1" applyAlignment="1">
      <alignment horizontal="right"/>
    </xf>
    <xf numFmtId="0" fontId="61" fillId="16" borderId="4" xfId="16" applyFont="1" applyFill="1" applyBorder="1" applyAlignment="1">
      <alignment vertical="top"/>
    </xf>
    <xf numFmtId="2" fontId="61" fillId="22" borderId="4" xfId="0" applyNumberFormat="1" applyFont="1" applyFill="1" applyBorder="1" applyAlignment="1">
      <alignment horizontal="right"/>
    </xf>
    <xf numFmtId="180" fontId="61" fillId="20" borderId="4" xfId="0" applyNumberFormat="1" applyFont="1" applyFill="1" applyBorder="1" applyAlignment="1">
      <alignment horizontal="right"/>
    </xf>
    <xf numFmtId="0" fontId="61" fillId="16" borderId="4" xfId="16" applyFont="1" applyFill="1" applyBorder="1" applyAlignment="1">
      <alignment vertical="center"/>
    </xf>
    <xf numFmtId="10" fontId="20" fillId="0" borderId="0" xfId="2" applyNumberFormat="1" applyFont="1"/>
    <xf numFmtId="0" fontId="0" fillId="77" borderId="0" xfId="0" applyFill="1"/>
    <xf numFmtId="0" fontId="20" fillId="77" borderId="0" xfId="0" applyFont="1" applyFill="1"/>
    <xf numFmtId="10" fontId="0" fillId="77" borderId="0" xfId="0" applyNumberFormat="1" applyFill="1"/>
    <xf numFmtId="1" fontId="0" fillId="77" borderId="0" xfId="0" applyNumberFormat="1" applyFill="1"/>
    <xf numFmtId="1" fontId="17" fillId="77" borderId="0" xfId="0" applyNumberFormat="1" applyFont="1" applyFill="1"/>
    <xf numFmtId="0" fontId="17" fillId="77" borderId="0" xfId="0" applyFont="1" applyFill="1"/>
    <xf numFmtId="0" fontId="5" fillId="0" borderId="79" xfId="10" applyFont="1" applyBorder="1"/>
    <xf numFmtId="1" fontId="25" fillId="0" borderId="0" xfId="6" applyNumberFormat="1"/>
    <xf numFmtId="0" fontId="36" fillId="0" borderId="0" xfId="0" applyFont="1" applyAlignment="1">
      <alignment horizontal="center" vertical="center" wrapText="1"/>
    </xf>
    <xf numFmtId="3" fontId="28" fillId="5" borderId="219" xfId="2275" applyNumberFormat="1" applyFont="1" applyFill="1" applyBorder="1" applyAlignment="1">
      <alignment vertical="center"/>
    </xf>
    <xf numFmtId="3" fontId="0" fillId="5" borderId="138" xfId="0" applyNumberFormat="1" applyFill="1" applyBorder="1"/>
    <xf numFmtId="3" fontId="28" fillId="5" borderId="189" xfId="0" applyNumberFormat="1" applyFont="1" applyFill="1" applyBorder="1" applyAlignment="1">
      <alignment vertical="center"/>
    </xf>
    <xf numFmtId="3" fontId="0" fillId="78" borderId="191" xfId="0" applyNumberFormat="1" applyFill="1" applyBorder="1"/>
    <xf numFmtId="0" fontId="20" fillId="0" borderId="17" xfId="0" applyFont="1" applyBorder="1"/>
    <xf numFmtId="0" fontId="0" fillId="79" borderId="4" xfId="0" applyFill="1" applyBorder="1"/>
    <xf numFmtId="0" fontId="20" fillId="0" borderId="4" xfId="0" applyFont="1" applyBorder="1"/>
    <xf numFmtId="0" fontId="0" fillId="0" borderId="4" xfId="0" applyBorder="1"/>
    <xf numFmtId="0" fontId="20" fillId="0" borderId="182" xfId="0" applyFont="1" applyBorder="1"/>
    <xf numFmtId="1" fontId="145" fillId="0" borderId="0" xfId="2433" applyNumberFormat="1"/>
    <xf numFmtId="0" fontId="0" fillId="83" borderId="4" xfId="0" applyFill="1" applyBorder="1"/>
    <xf numFmtId="0" fontId="20" fillId="83" borderId="4" xfId="0" applyFont="1" applyFill="1" applyBorder="1"/>
    <xf numFmtId="0" fontId="150" fillId="47" borderId="194" xfId="0" applyFont="1" applyFill="1" applyBorder="1" applyAlignment="1">
      <alignment vertical="center"/>
    </xf>
    <xf numFmtId="0" fontId="150" fillId="47" borderId="193" xfId="0" applyFont="1" applyFill="1" applyBorder="1" applyAlignment="1">
      <alignment vertical="center"/>
    </xf>
    <xf numFmtId="0" fontId="150" fillId="47" borderId="195" xfId="0" applyFont="1" applyFill="1" applyBorder="1" applyAlignment="1">
      <alignment vertical="center"/>
    </xf>
    <xf numFmtId="0" fontId="152" fillId="46" borderId="223" xfId="0" applyFont="1" applyFill="1" applyBorder="1" applyAlignment="1">
      <alignment vertical="center"/>
    </xf>
    <xf numFmtId="3" fontId="152" fillId="46" borderId="223" xfId="0" applyNumberFormat="1" applyFont="1" applyFill="1" applyBorder="1" applyAlignment="1">
      <alignment vertical="center"/>
    </xf>
    <xf numFmtId="3" fontId="152" fillId="46" borderId="224" xfId="0" applyNumberFormat="1" applyFont="1" applyFill="1" applyBorder="1" applyAlignment="1">
      <alignment vertical="center"/>
    </xf>
    <xf numFmtId="0" fontId="152" fillId="48" borderId="194" xfId="0" applyFont="1" applyFill="1" applyBorder="1" applyAlignment="1">
      <alignment vertical="center"/>
    </xf>
    <xf numFmtId="3" fontId="152" fillId="48" borderId="196" xfId="0" applyNumberFormat="1" applyFont="1" applyFill="1" applyBorder="1" applyAlignment="1">
      <alignment vertical="center"/>
    </xf>
    <xf numFmtId="0" fontId="152" fillId="46" borderId="194" xfId="0" applyFont="1" applyFill="1" applyBorder="1" applyAlignment="1">
      <alignment vertical="center"/>
    </xf>
    <xf numFmtId="3" fontId="152" fillId="48" borderId="194" xfId="0" applyNumberFormat="1" applyFont="1" applyFill="1" applyBorder="1" applyAlignment="1">
      <alignment vertical="center"/>
    </xf>
    <xf numFmtId="3" fontId="152" fillId="46" borderId="196" xfId="0" applyNumberFormat="1" applyFont="1" applyFill="1" applyBorder="1" applyAlignment="1">
      <alignment vertical="center"/>
    </xf>
    <xf numFmtId="0" fontId="152" fillId="48" borderId="223" xfId="0" applyFont="1" applyFill="1" applyBorder="1" applyAlignment="1">
      <alignment vertical="center"/>
    </xf>
    <xf numFmtId="3" fontId="152" fillId="48" borderId="223" xfId="0" applyNumberFormat="1" applyFont="1" applyFill="1" applyBorder="1" applyAlignment="1">
      <alignment vertical="center"/>
    </xf>
    <xf numFmtId="3" fontId="152" fillId="48" borderId="224" xfId="0" applyNumberFormat="1" applyFont="1" applyFill="1" applyBorder="1" applyAlignment="1">
      <alignment vertical="center"/>
    </xf>
    <xf numFmtId="3" fontId="152" fillId="46" borderId="194" xfId="0" applyNumberFormat="1" applyFont="1" applyFill="1" applyBorder="1" applyAlignment="1">
      <alignment vertical="center"/>
    </xf>
    <xf numFmtId="0" fontId="152" fillId="48" borderId="196" xfId="0" applyFont="1" applyFill="1" applyBorder="1" applyAlignment="1">
      <alignment vertical="center"/>
    </xf>
    <xf numFmtId="0" fontId="152" fillId="46" borderId="197" xfId="0" applyFont="1" applyFill="1" applyBorder="1" applyAlignment="1">
      <alignment vertical="center"/>
    </xf>
    <xf numFmtId="3" fontId="152" fillId="46" borderId="197" xfId="0" applyNumberFormat="1" applyFont="1" applyFill="1" applyBorder="1" applyAlignment="1">
      <alignment vertical="center"/>
    </xf>
    <xf numFmtId="3" fontId="152" fillId="46" borderId="198" xfId="0" applyNumberFormat="1" applyFont="1" applyFill="1" applyBorder="1" applyAlignment="1">
      <alignment vertical="center"/>
    </xf>
    <xf numFmtId="0" fontId="153" fillId="84" borderId="225" xfId="0" applyFont="1" applyFill="1" applyBorder="1"/>
    <xf numFmtId="0" fontId="153" fillId="84" borderId="225" xfId="0" applyFont="1" applyFill="1" applyBorder="1" applyAlignment="1">
      <alignment horizontal="right"/>
    </xf>
    <xf numFmtId="0" fontId="153" fillId="0" borderId="225" xfId="0" applyFont="1" applyBorder="1" applyAlignment="1">
      <alignment horizontal="left"/>
    </xf>
    <xf numFmtId="0" fontId="153" fillId="0" borderId="225" xfId="0" applyFont="1" applyBorder="1"/>
    <xf numFmtId="0" fontId="152" fillId="0" borderId="0" xfId="0" applyFont="1"/>
    <xf numFmtId="0" fontId="153" fillId="84" borderId="226" xfId="0" applyFont="1" applyFill="1" applyBorder="1" applyAlignment="1">
      <alignment horizontal="left"/>
    </xf>
    <xf numFmtId="0" fontId="153" fillId="84" borderId="226" xfId="0" applyFont="1" applyFill="1" applyBorder="1"/>
    <xf numFmtId="0" fontId="31" fillId="19" borderId="0" xfId="0" applyFont="1" applyFill="1" applyAlignment="1" applyProtection="1">
      <alignment horizontal="center"/>
      <protection locked="0"/>
    </xf>
    <xf numFmtId="0" fontId="20" fillId="85" borderId="4" xfId="0" applyFont="1" applyFill="1" applyBorder="1"/>
    <xf numFmtId="1" fontId="0" fillId="79" borderId="0" xfId="0" applyNumberFormat="1" applyFill="1"/>
    <xf numFmtId="167" fontId="16" fillId="3" borderId="0" xfId="0" applyNumberFormat="1" applyFont="1" applyFill="1" applyAlignment="1">
      <alignment vertical="center"/>
    </xf>
    <xf numFmtId="0" fontId="145" fillId="0" borderId="0" xfId="2433"/>
    <xf numFmtId="0" fontId="154" fillId="0" borderId="0" xfId="2433" applyFont="1"/>
    <xf numFmtId="0" fontId="58" fillId="0" borderId="0" xfId="2433" applyFont="1"/>
    <xf numFmtId="0" fontId="155" fillId="0" borderId="0" xfId="2435" applyFont="1" applyAlignment="1">
      <alignment horizontal="center" vertical="center" wrapText="1"/>
    </xf>
    <xf numFmtId="0" fontId="156" fillId="0" borderId="0" xfId="2435" applyFont="1" applyAlignment="1">
      <alignment wrapText="1"/>
    </xf>
    <xf numFmtId="3" fontId="156" fillId="0" borderId="0" xfId="2435" applyNumberFormat="1" applyFont="1" applyAlignment="1">
      <alignment wrapText="1"/>
    </xf>
    <xf numFmtId="0" fontId="157" fillId="0" borderId="231" xfId="0" applyFont="1" applyBorder="1" applyAlignment="1">
      <alignment vertical="center" wrapText="1"/>
    </xf>
    <xf numFmtId="0" fontId="158" fillId="0" borderId="228" xfId="0" applyFont="1" applyBorder="1" applyAlignment="1">
      <alignment vertical="center" wrapText="1"/>
    </xf>
    <xf numFmtId="0" fontId="158" fillId="0" borderId="229" xfId="0" applyFont="1" applyBorder="1" applyAlignment="1">
      <alignment vertical="center" wrapText="1"/>
    </xf>
    <xf numFmtId="0" fontId="159" fillId="0" borderId="230" xfId="0" applyFont="1" applyBorder="1" applyAlignment="1">
      <alignment vertical="center" wrapText="1"/>
    </xf>
    <xf numFmtId="0" fontId="159" fillId="0" borderId="231" xfId="0" applyFont="1" applyBorder="1" applyAlignment="1">
      <alignment horizontal="right" vertical="center" wrapText="1"/>
    </xf>
    <xf numFmtId="3" fontId="159" fillId="0" borderId="231" xfId="0" applyNumberFormat="1" applyFont="1" applyBorder="1" applyAlignment="1">
      <alignment horizontal="right" vertical="center" wrapText="1"/>
    </xf>
    <xf numFmtId="0" fontId="159" fillId="0" borderId="232" xfId="0" applyFont="1" applyBorder="1" applyAlignment="1">
      <alignment vertical="center" wrapText="1"/>
    </xf>
    <xf numFmtId="0" fontId="160" fillId="0" borderId="230" xfId="0" applyFont="1" applyBorder="1" applyAlignment="1">
      <alignment vertical="center" wrapText="1"/>
    </xf>
    <xf numFmtId="0" fontId="160" fillId="0" borderId="231" xfId="0" applyFont="1" applyBorder="1" applyAlignment="1">
      <alignment horizontal="right" vertical="center" wrapText="1"/>
    </xf>
    <xf numFmtId="0" fontId="159" fillId="0" borderId="233" xfId="0" applyFont="1" applyBorder="1" applyAlignment="1">
      <alignment vertical="center"/>
    </xf>
    <xf numFmtId="0" fontId="159" fillId="0" borderId="0" xfId="0" applyFont="1" applyAlignment="1">
      <alignment vertical="center"/>
    </xf>
    <xf numFmtId="0" fontId="161" fillId="46" borderId="223" xfId="0" applyFont="1" applyFill="1" applyBorder="1" applyAlignment="1">
      <alignment vertical="center"/>
    </xf>
    <xf numFmtId="0" fontId="161" fillId="48" borderId="194" xfId="0" applyFont="1" applyFill="1" applyBorder="1" applyAlignment="1">
      <alignment vertical="center"/>
    </xf>
    <xf numFmtId="0" fontId="161" fillId="46" borderId="194" xfId="0" applyFont="1" applyFill="1" applyBorder="1" applyAlignment="1">
      <alignment vertical="center"/>
    </xf>
    <xf numFmtId="0" fontId="161" fillId="48" borderId="223" xfId="0" applyFont="1" applyFill="1" applyBorder="1" applyAlignment="1">
      <alignment vertical="center"/>
    </xf>
    <xf numFmtId="0" fontId="164" fillId="47" borderId="194" xfId="0" applyFont="1" applyFill="1" applyBorder="1" applyAlignment="1">
      <alignment vertical="center"/>
    </xf>
    <xf numFmtId="0" fontId="164" fillId="47" borderId="193" xfId="0" applyFont="1" applyFill="1" applyBorder="1" applyAlignment="1">
      <alignment vertical="center"/>
    </xf>
    <xf numFmtId="0" fontId="164" fillId="47" borderId="195" xfId="0" applyFont="1" applyFill="1" applyBorder="1" applyAlignment="1">
      <alignment vertical="center"/>
    </xf>
    <xf numFmtId="0" fontId="163" fillId="46" borderId="223" xfId="0" applyFont="1" applyFill="1" applyBorder="1" applyAlignment="1">
      <alignment vertical="center"/>
    </xf>
    <xf numFmtId="3" fontId="163" fillId="46" borderId="223" xfId="0" applyNumberFormat="1" applyFont="1" applyFill="1" applyBorder="1" applyAlignment="1">
      <alignment vertical="center"/>
    </xf>
    <xf numFmtId="3" fontId="163" fillId="46" borderId="224" xfId="0" applyNumberFormat="1" applyFont="1" applyFill="1" applyBorder="1" applyAlignment="1">
      <alignment vertical="center"/>
    </xf>
    <xf numFmtId="0" fontId="163" fillId="46" borderId="194" xfId="0" applyFont="1" applyFill="1" applyBorder="1" applyAlignment="1">
      <alignment vertical="center"/>
    </xf>
    <xf numFmtId="3" fontId="163" fillId="46" borderId="196" xfId="0" applyNumberFormat="1" applyFont="1" applyFill="1" applyBorder="1" applyAlignment="1">
      <alignment vertical="center"/>
    </xf>
    <xf numFmtId="3" fontId="163" fillId="46" borderId="194" xfId="0" applyNumberFormat="1" applyFont="1" applyFill="1" applyBorder="1" applyAlignment="1">
      <alignment vertical="center"/>
    </xf>
    <xf numFmtId="0" fontId="163" fillId="46" borderId="197" xfId="0" applyFont="1" applyFill="1" applyBorder="1" applyAlignment="1">
      <alignment vertical="center"/>
    </xf>
    <xf numFmtId="3" fontId="163" fillId="46" borderId="197" xfId="0" applyNumberFormat="1" applyFont="1" applyFill="1" applyBorder="1" applyAlignment="1">
      <alignment vertical="center"/>
    </xf>
    <xf numFmtId="0" fontId="2" fillId="0" borderId="0" xfId="2437"/>
    <xf numFmtId="0" fontId="153" fillId="84" borderId="225" xfId="2437" applyFont="1" applyFill="1" applyBorder="1"/>
    <xf numFmtId="0" fontId="153" fillId="0" borderId="225" xfId="2437" applyFont="1" applyBorder="1" applyAlignment="1">
      <alignment horizontal="left"/>
    </xf>
    <xf numFmtId="0" fontId="153" fillId="0" borderId="225" xfId="2437" applyFont="1" applyBorder="1"/>
    <xf numFmtId="0" fontId="153" fillId="84" borderId="226" xfId="2437" applyFont="1" applyFill="1" applyBorder="1"/>
    <xf numFmtId="0" fontId="153" fillId="84" borderId="225" xfId="2437" applyFont="1" applyFill="1" applyBorder="1" applyAlignment="1">
      <alignment horizontal="right"/>
    </xf>
    <xf numFmtId="0" fontId="152" fillId="0" borderId="0" xfId="2437" applyFont="1"/>
    <xf numFmtId="0" fontId="153" fillId="84" borderId="226" xfId="2437" applyFont="1" applyFill="1" applyBorder="1" applyAlignment="1">
      <alignment horizontal="left"/>
    </xf>
    <xf numFmtId="10" fontId="0" fillId="0" borderId="0" xfId="2" applyNumberFormat="1" applyFont="1" applyFill="1" applyBorder="1"/>
    <xf numFmtId="0" fontId="78" fillId="25" borderId="0" xfId="0" applyFont="1" applyFill="1" applyAlignment="1">
      <alignment vertical="center"/>
    </xf>
    <xf numFmtId="0" fontId="78" fillId="5" borderId="38" xfId="0" applyFont="1" applyFill="1" applyBorder="1" applyAlignment="1">
      <alignment vertical="center"/>
    </xf>
    <xf numFmtId="0" fontId="79" fillId="0" borderId="142" xfId="0" applyFont="1" applyBorder="1" applyAlignment="1">
      <alignment vertical="center"/>
    </xf>
    <xf numFmtId="0" fontId="78" fillId="5" borderId="0" xfId="0" applyFont="1" applyFill="1" applyAlignment="1">
      <alignment vertical="center"/>
    </xf>
    <xf numFmtId="1" fontId="141" fillId="0" borderId="0" xfId="0" applyNumberFormat="1" applyFont="1" applyAlignment="1">
      <alignment horizontal="right" vertical="center"/>
    </xf>
    <xf numFmtId="0" fontId="166" fillId="88" borderId="0" xfId="2438" applyFont="1" applyFill="1" applyAlignment="1">
      <alignment vertical="center"/>
    </xf>
    <xf numFmtId="0" fontId="167" fillId="88" borderId="0" xfId="2438" applyFont="1" applyFill="1"/>
    <xf numFmtId="0" fontId="167" fillId="88" borderId="0" xfId="2438" applyFont="1" applyFill="1" applyAlignment="1">
      <alignment vertical="center"/>
    </xf>
    <xf numFmtId="0" fontId="168" fillId="88" borderId="0" xfId="2438" applyFont="1" applyFill="1"/>
    <xf numFmtId="0" fontId="167" fillId="88" borderId="0" xfId="2438" applyFont="1" applyFill="1" applyAlignment="1">
      <alignment horizontal="center" vertical="center"/>
    </xf>
    <xf numFmtId="0" fontId="1" fillId="0" borderId="0" xfId="2438"/>
    <xf numFmtId="0" fontId="89" fillId="88" borderId="0" xfId="2438" applyFont="1" applyFill="1"/>
    <xf numFmtId="0" fontId="169" fillId="0" borderId="0" xfId="2438" applyFont="1" applyAlignment="1">
      <alignment horizontal="center"/>
    </xf>
    <xf numFmtId="0" fontId="170" fillId="0" borderId="0" xfId="2438" applyFont="1"/>
    <xf numFmtId="0" fontId="170" fillId="0" borderId="0" xfId="2438" applyFont="1" applyAlignment="1">
      <alignment horizontal="center"/>
    </xf>
    <xf numFmtId="0" fontId="170" fillId="89" borderId="0" xfId="2438" applyFont="1" applyFill="1" applyAlignment="1">
      <alignment horizontal="center"/>
    </xf>
    <xf numFmtId="0" fontId="171" fillId="0" borderId="0" xfId="2438" applyFont="1" applyAlignment="1">
      <alignment wrapText="1"/>
    </xf>
    <xf numFmtId="0" fontId="171" fillId="0" borderId="0" xfId="2438" applyFont="1" applyAlignment="1">
      <alignment horizontal="left" wrapText="1"/>
    </xf>
    <xf numFmtId="0" fontId="1" fillId="0" borderId="6" xfId="2438" applyBorder="1"/>
    <xf numFmtId="0" fontId="165" fillId="90" borderId="0" xfId="2438" applyFont="1" applyFill="1" applyAlignment="1">
      <alignment horizontal="center"/>
    </xf>
    <xf numFmtId="0" fontId="165" fillId="0" borderId="0" xfId="2438" applyFont="1" applyAlignment="1">
      <alignment horizontal="center"/>
    </xf>
    <xf numFmtId="0" fontId="165" fillId="90" borderId="209" xfId="2438" applyFont="1" applyFill="1" applyBorder="1"/>
    <xf numFmtId="0" fontId="24" fillId="0" borderId="209" xfId="2438" applyFont="1" applyBorder="1"/>
    <xf numFmtId="0" fontId="172" fillId="0" borderId="209" xfId="2438" applyFont="1" applyBorder="1"/>
    <xf numFmtId="0" fontId="89" fillId="91" borderId="0" xfId="2438" applyFont="1" applyFill="1" applyAlignment="1">
      <alignment horizontal="center"/>
    </xf>
    <xf numFmtId="0" fontId="89" fillId="0" borderId="0" xfId="2438" applyFont="1" applyAlignment="1">
      <alignment horizontal="center"/>
    </xf>
    <xf numFmtId="0" fontId="1" fillId="92" borderId="44" xfId="2438" applyFill="1" applyBorder="1"/>
    <xf numFmtId="0" fontId="1" fillId="92" borderId="0" xfId="2438" applyFill="1"/>
    <xf numFmtId="0" fontId="1" fillId="89" borderId="0" xfId="2438" applyFill="1"/>
    <xf numFmtId="0" fontId="1" fillId="93" borderId="0" xfId="2438" applyFill="1" applyAlignment="1">
      <alignment horizontal="right"/>
    </xf>
    <xf numFmtId="0" fontId="30" fillId="0" borderId="0" xfId="2438" applyFont="1"/>
    <xf numFmtId="177" fontId="1" fillId="89" borderId="0" xfId="2438" applyNumberFormat="1" applyFill="1"/>
    <xf numFmtId="1" fontId="1" fillId="89" borderId="0" xfId="2438" applyNumberFormat="1" applyFill="1"/>
    <xf numFmtId="0" fontId="1" fillId="15" borderId="0" xfId="2438" applyFill="1"/>
    <xf numFmtId="0" fontId="1" fillId="15" borderId="44" xfId="2438" applyFill="1" applyBorder="1"/>
    <xf numFmtId="0" fontId="89" fillId="88" borderId="0" xfId="2438" applyFont="1" applyFill="1" applyAlignment="1">
      <alignment wrapText="1"/>
    </xf>
    <xf numFmtId="180" fontId="1" fillId="94" borderId="0" xfId="2438" applyNumberFormat="1" applyFill="1"/>
    <xf numFmtId="180" fontId="1" fillId="95" borderId="0" xfId="2438" applyNumberFormat="1" applyFill="1"/>
    <xf numFmtId="173" fontId="30" fillId="96" borderId="0" xfId="2438" applyNumberFormat="1" applyFont="1" applyFill="1"/>
    <xf numFmtId="170" fontId="1" fillId="89" borderId="0" xfId="2438" applyNumberFormat="1" applyFill="1"/>
    <xf numFmtId="2" fontId="1" fillId="89" borderId="0" xfId="2438" applyNumberFormat="1" applyFill="1"/>
    <xf numFmtId="177" fontId="1" fillId="94" borderId="0" xfId="2438" applyNumberFormat="1" applyFill="1"/>
    <xf numFmtId="9" fontId="0" fillId="89" borderId="0" xfId="2439" applyFont="1" applyFill="1"/>
    <xf numFmtId="177" fontId="1" fillId="94" borderId="44" xfId="2438" applyNumberFormat="1" applyFill="1" applyBorder="1"/>
    <xf numFmtId="0" fontId="87" fillId="0" borderId="0" xfId="2438" applyFont="1"/>
    <xf numFmtId="2" fontId="1" fillId="15" borderId="0" xfId="2438" applyNumberFormat="1" applyFill="1"/>
    <xf numFmtId="0" fontId="1" fillId="0" borderId="209" xfId="2438" applyBorder="1"/>
    <xf numFmtId="2" fontId="30" fillId="89" borderId="0" xfId="2438" applyNumberFormat="1" applyFont="1" applyFill="1"/>
    <xf numFmtId="0" fontId="1" fillId="97" borderId="0" xfId="2438" applyFill="1"/>
    <xf numFmtId="173" fontId="1" fillId="0" borderId="0" xfId="2438" applyNumberFormat="1"/>
    <xf numFmtId="177" fontId="1" fillId="0" borderId="0" xfId="2438" applyNumberFormat="1"/>
    <xf numFmtId="0" fontId="11" fillId="98" borderId="0" xfId="0" applyFont="1" applyFill="1" applyAlignment="1">
      <alignment vertical="center" wrapText="1"/>
    </xf>
    <xf numFmtId="0" fontId="11" fillId="98" borderId="0" xfId="0" applyFont="1" applyFill="1" applyAlignment="1">
      <alignment vertical="center"/>
    </xf>
    <xf numFmtId="0" fontId="11" fillId="98" borderId="0" xfId="0" applyFont="1" applyFill="1" applyAlignment="1">
      <alignment horizontal="right" vertical="center"/>
    </xf>
    <xf numFmtId="0" fontId="11" fillId="99" borderId="0" xfId="0" applyFont="1" applyFill="1" applyAlignment="1">
      <alignment vertical="center" wrapText="1"/>
    </xf>
    <xf numFmtId="0" fontId="11" fillId="99" borderId="0" xfId="0" applyFont="1" applyFill="1" applyAlignment="1">
      <alignment vertical="center"/>
    </xf>
    <xf numFmtId="0" fontId="11" fillId="99" borderId="0" xfId="0" applyFont="1" applyFill="1" applyAlignment="1">
      <alignment horizontal="right" vertical="center"/>
    </xf>
    <xf numFmtId="0" fontId="11" fillId="100" borderId="0" xfId="0" applyFont="1" applyFill="1" applyAlignment="1">
      <alignment vertical="center" wrapText="1"/>
    </xf>
    <xf numFmtId="0" fontId="11" fillId="100" borderId="0" xfId="0" applyFont="1" applyFill="1" applyAlignment="1">
      <alignment vertical="center"/>
    </xf>
    <xf numFmtId="0" fontId="11" fillId="100" borderId="0" xfId="0" applyFont="1" applyFill="1" applyAlignment="1">
      <alignment horizontal="right" vertical="center"/>
    </xf>
    <xf numFmtId="0" fontId="11" fillId="101" borderId="0" xfId="0" applyFont="1" applyFill="1" applyAlignment="1">
      <alignment vertical="center" wrapText="1"/>
    </xf>
    <xf numFmtId="0" fontId="11" fillId="101" borderId="0" xfId="0" applyFont="1" applyFill="1" applyAlignment="1">
      <alignment vertical="center"/>
    </xf>
    <xf numFmtId="0" fontId="11" fillId="101" borderId="0" xfId="0" applyFont="1" applyFill="1" applyAlignment="1">
      <alignment horizontal="right" vertical="center"/>
    </xf>
    <xf numFmtId="17" fontId="0" fillId="0" borderId="0" xfId="0" applyNumberFormat="1"/>
    <xf numFmtId="188" fontId="0" fillId="0" borderId="0" xfId="0" applyNumberFormat="1"/>
    <xf numFmtId="170" fontId="17" fillId="0" borderId="0" xfId="0" applyNumberFormat="1" applyFont="1"/>
    <xf numFmtId="0" fontId="173" fillId="0" borderId="0" xfId="0" applyFont="1" applyAlignment="1">
      <alignment vertical="center" wrapText="1"/>
    </xf>
    <xf numFmtId="167" fontId="36" fillId="7" borderId="0" xfId="0" applyNumberFormat="1" applyFont="1" applyFill="1" applyAlignment="1">
      <alignment vertical="center"/>
    </xf>
    <xf numFmtId="168" fontId="36" fillId="0" borderId="0" xfId="2" applyNumberFormat="1" applyFont="1" applyAlignment="1"/>
    <xf numFmtId="168" fontId="36" fillId="7" borderId="0" xfId="2" applyNumberFormat="1" applyFont="1" applyFill="1" applyAlignment="1">
      <alignment vertical="center"/>
    </xf>
    <xf numFmtId="169" fontId="36" fillId="0" borderId="0" xfId="0" applyNumberFormat="1" applyFont="1"/>
    <xf numFmtId="169" fontId="36" fillId="7" borderId="0" xfId="0" applyNumberFormat="1" applyFont="1" applyFill="1" applyAlignment="1">
      <alignment vertical="center"/>
    </xf>
    <xf numFmtId="3" fontId="174" fillId="0" borderId="0" xfId="0" applyNumberFormat="1" applyFont="1"/>
    <xf numFmtId="3" fontId="36" fillId="7" borderId="0" xfId="0" applyNumberFormat="1" applyFont="1" applyFill="1" applyAlignment="1">
      <alignment vertical="center"/>
    </xf>
    <xf numFmtId="1" fontId="36" fillId="0" borderId="0" xfId="0" applyNumberFormat="1" applyFont="1"/>
    <xf numFmtId="0" fontId="175" fillId="0" borderId="0" xfId="0" applyFont="1"/>
    <xf numFmtId="3" fontId="176" fillId="0" borderId="0" xfId="0" applyNumberFormat="1" applyFont="1" applyAlignment="1">
      <alignment horizontal="right" vertical="center"/>
    </xf>
    <xf numFmtId="2" fontId="36" fillId="0" borderId="0" xfId="0" applyNumberFormat="1" applyFont="1"/>
    <xf numFmtId="173" fontId="36" fillId="7" borderId="0" xfId="0" applyNumberFormat="1" applyFont="1" applyFill="1" applyAlignment="1">
      <alignment vertical="center"/>
    </xf>
    <xf numFmtId="189" fontId="0" fillId="0" borderId="0" xfId="0" applyNumberFormat="1"/>
    <xf numFmtId="0" fontId="28" fillId="0" borderId="0" xfId="2435" applyFont="1" applyAlignment="1">
      <alignment horizontal="center"/>
    </xf>
    <xf numFmtId="0" fontId="3" fillId="0" borderId="0" xfId="2435"/>
    <xf numFmtId="0" fontId="59" fillId="19" borderId="0" xfId="0" applyFont="1" applyFill="1" applyAlignment="1" applyProtection="1">
      <alignment horizontal="center"/>
      <protection locked="0"/>
    </xf>
    <xf numFmtId="0" fontId="82" fillId="26" borderId="0" xfId="0" applyFont="1" applyFill="1" applyAlignment="1">
      <alignment horizontal="center"/>
    </xf>
    <xf numFmtId="0" fontId="0" fillId="0" borderId="6" xfId="0" applyBorder="1" applyAlignment="1">
      <alignment horizontal="center"/>
    </xf>
    <xf numFmtId="0" fontId="40" fillId="0" borderId="73" xfId="0" applyFont="1" applyBorder="1" applyAlignment="1">
      <alignment horizontal="center" vertical="center" textRotation="90"/>
    </xf>
    <xf numFmtId="0" fontId="40" fillId="0" borderId="56" xfId="0" applyFont="1" applyBorder="1" applyAlignment="1">
      <alignment horizontal="center" vertical="center" textRotation="90"/>
    </xf>
    <xf numFmtId="0" fontId="40" fillId="0" borderId="70" xfId="0" applyFont="1" applyBorder="1" applyAlignment="1">
      <alignment horizontal="center" vertical="center" textRotation="90"/>
    </xf>
    <xf numFmtId="0" fontId="43" fillId="13" borderId="84" xfId="0" applyFont="1" applyFill="1" applyBorder="1" applyAlignment="1">
      <alignment horizontal="left" vertical="center" wrapText="1" indent="1"/>
    </xf>
    <xf numFmtId="0" fontId="43" fillId="13" borderId="85" xfId="0" applyFont="1" applyFill="1" applyBorder="1" applyAlignment="1">
      <alignment horizontal="left" vertical="center" wrapText="1" indent="1"/>
    </xf>
    <xf numFmtId="0" fontId="43" fillId="13" borderId="86" xfId="0" applyFont="1" applyFill="1" applyBorder="1" applyAlignment="1">
      <alignment horizontal="left" vertical="center" wrapText="1" indent="1"/>
    </xf>
    <xf numFmtId="0" fontId="43" fillId="12" borderId="84" xfId="0" applyFont="1" applyFill="1" applyBorder="1" applyAlignment="1">
      <alignment horizontal="left" vertical="center" wrapText="1" indent="1"/>
    </xf>
    <xf numFmtId="0" fontId="43" fillId="12" borderId="85" xfId="0" applyFont="1" applyFill="1" applyBorder="1" applyAlignment="1">
      <alignment horizontal="left" vertical="center" wrapText="1" indent="1"/>
    </xf>
    <xf numFmtId="0" fontId="43" fillId="12" borderId="86" xfId="0" applyFont="1" applyFill="1" applyBorder="1" applyAlignment="1">
      <alignment horizontal="left" vertical="center" wrapText="1" indent="1"/>
    </xf>
    <xf numFmtId="0" fontId="38" fillId="0" borderId="38" xfId="0" applyFont="1" applyBorder="1" applyAlignment="1">
      <alignment horizontal="center"/>
    </xf>
    <xf numFmtId="0" fontId="39" fillId="0" borderId="39" xfId="0" applyFont="1" applyBorder="1" applyAlignment="1">
      <alignment horizontal="center"/>
    </xf>
    <xf numFmtId="0" fontId="39" fillId="0" borderId="40" xfId="0" applyFont="1" applyBorder="1" applyAlignment="1">
      <alignment horizontal="center"/>
    </xf>
    <xf numFmtId="0" fontId="39" fillId="0" borderId="44" xfId="0" applyFont="1" applyBorder="1" applyAlignment="1">
      <alignment horizontal="center"/>
    </xf>
    <xf numFmtId="0" fontId="39" fillId="0" borderId="45" xfId="0" applyFont="1" applyBorder="1" applyAlignment="1">
      <alignment horizontal="center"/>
    </xf>
    <xf numFmtId="0" fontId="39" fillId="0" borderId="47" xfId="0" applyFont="1" applyBorder="1" applyAlignment="1">
      <alignment horizontal="center"/>
    </xf>
    <xf numFmtId="0" fontId="39" fillId="0" borderId="48" xfId="0" applyFont="1" applyBorder="1" applyAlignment="1">
      <alignment horizontal="center"/>
    </xf>
    <xf numFmtId="0" fontId="40" fillId="9" borderId="41" xfId="0" applyFont="1" applyFill="1" applyBorder="1" applyAlignment="1">
      <alignment horizontal="center"/>
    </xf>
    <xf numFmtId="0" fontId="40" fillId="9" borderId="42" xfId="0" applyFont="1" applyFill="1" applyBorder="1" applyAlignment="1">
      <alignment horizontal="center"/>
    </xf>
    <xf numFmtId="0" fontId="40" fillId="9" borderId="43" xfId="0" applyFont="1" applyFill="1" applyBorder="1" applyAlignment="1">
      <alignment horizontal="center"/>
    </xf>
    <xf numFmtId="0" fontId="39" fillId="9" borderId="207" xfId="0" applyFont="1" applyFill="1" applyBorder="1" applyAlignment="1">
      <alignment horizontal="center" textRotation="90" wrapText="1"/>
    </xf>
    <xf numFmtId="0" fontId="40" fillId="9" borderId="44" xfId="0" applyFont="1" applyFill="1" applyBorder="1" applyAlignment="1">
      <alignment horizontal="center" textRotation="90" wrapText="1"/>
    </xf>
    <xf numFmtId="0" fontId="40" fillId="9" borderId="47" xfId="0" applyFont="1" applyFill="1" applyBorder="1" applyAlignment="1">
      <alignment horizontal="center" textRotation="90" wrapText="1"/>
    </xf>
    <xf numFmtId="0" fontId="40" fillId="9" borderId="208" xfId="0" applyFont="1" applyFill="1" applyBorder="1" applyAlignment="1">
      <alignment horizontal="center"/>
    </xf>
    <xf numFmtId="0" fontId="40" fillId="9" borderId="209" xfId="0" applyFont="1" applyFill="1" applyBorder="1" applyAlignment="1">
      <alignment horizontal="center"/>
    </xf>
    <xf numFmtId="0" fontId="40" fillId="9" borderId="210" xfId="0" applyFont="1" applyFill="1" applyBorder="1" applyAlignment="1">
      <alignment horizontal="center"/>
    </xf>
    <xf numFmtId="0" fontId="39" fillId="9" borderId="211" xfId="0" applyFont="1" applyFill="1" applyBorder="1" applyAlignment="1">
      <alignment horizontal="center"/>
    </xf>
    <xf numFmtId="0" fontId="39" fillId="9" borderId="212" xfId="0" applyFont="1" applyFill="1" applyBorder="1" applyAlignment="1">
      <alignment horizontal="center"/>
    </xf>
    <xf numFmtId="0" fontId="39" fillId="9" borderId="213" xfId="0" applyFont="1" applyFill="1" applyBorder="1" applyAlignment="1">
      <alignment horizontal="center"/>
    </xf>
    <xf numFmtId="0" fontId="39" fillId="9" borderId="210" xfId="0" applyFont="1" applyFill="1" applyBorder="1" applyAlignment="1">
      <alignment horizontal="center"/>
    </xf>
    <xf numFmtId="0" fontId="43" fillId="12" borderId="59" xfId="0" applyFont="1" applyFill="1" applyBorder="1" applyAlignment="1">
      <alignment horizontal="left" vertical="center" wrapText="1" indent="1"/>
    </xf>
    <xf numFmtId="0" fontId="43" fillId="12" borderId="60" xfId="0" applyFont="1" applyFill="1" applyBorder="1" applyAlignment="1">
      <alignment horizontal="left" vertical="center" wrapText="1" indent="1"/>
    </xf>
    <xf numFmtId="0" fontId="43" fillId="12" borderId="61" xfId="0" applyFont="1" applyFill="1" applyBorder="1" applyAlignment="1">
      <alignment horizontal="left" vertical="center" wrapText="1" indent="1"/>
    </xf>
    <xf numFmtId="0" fontId="42" fillId="11" borderId="211" xfId="0" applyFont="1" applyFill="1" applyBorder="1" applyAlignment="1">
      <alignment horizontal="center"/>
    </xf>
    <xf numFmtId="0" fontId="42" fillId="11" borderId="214" xfId="0" applyFont="1" applyFill="1" applyBorder="1" applyAlignment="1">
      <alignment horizontal="center"/>
    </xf>
    <xf numFmtId="0" fontId="39" fillId="9" borderId="207" xfId="0" applyFont="1" applyFill="1" applyBorder="1" applyAlignment="1">
      <alignment horizontal="center"/>
    </xf>
    <xf numFmtId="0" fontId="39" fillId="9" borderId="209" xfId="0" applyFont="1" applyFill="1" applyBorder="1" applyAlignment="1">
      <alignment horizontal="center"/>
    </xf>
    <xf numFmtId="0" fontId="42" fillId="9" borderId="63" xfId="0" applyFont="1" applyFill="1" applyBorder="1" applyAlignment="1">
      <alignment horizontal="center"/>
    </xf>
    <xf numFmtId="0" fontId="42" fillId="9" borderId="64" xfId="0" applyFont="1" applyFill="1" applyBorder="1" applyAlignment="1">
      <alignment horizontal="center"/>
    </xf>
    <xf numFmtId="0" fontId="39" fillId="9" borderId="69" xfId="0" applyFont="1" applyFill="1" applyBorder="1" applyAlignment="1">
      <alignment horizontal="center"/>
    </xf>
    <xf numFmtId="0" fontId="39" fillId="9" borderId="38" xfId="0" applyFont="1" applyFill="1" applyBorder="1" applyAlignment="1">
      <alignment horizontal="center"/>
    </xf>
    <xf numFmtId="0" fontId="49" fillId="0" borderId="113" xfId="0" applyFont="1" applyBorder="1" applyAlignment="1">
      <alignment horizontal="center" vertical="center" textRotation="90" wrapText="1"/>
    </xf>
    <xf numFmtId="0" fontId="49" fillId="0" borderId="62" xfId="0" applyFont="1" applyBorder="1" applyAlignment="1">
      <alignment horizontal="center" vertical="center" textRotation="90" wrapText="1"/>
    </xf>
    <xf numFmtId="0" fontId="49" fillId="0" borderId="111" xfId="0" applyFont="1" applyBorder="1" applyAlignment="1">
      <alignment horizontal="center" vertical="center" textRotation="90" wrapText="1"/>
    </xf>
    <xf numFmtId="0" fontId="40" fillId="0" borderId="73" xfId="0" applyFont="1" applyBorder="1" applyAlignment="1">
      <alignment horizontal="center" vertical="center" textRotation="90" wrapText="1"/>
    </xf>
    <xf numFmtId="0" fontId="40" fillId="0" borderId="56" xfId="0" applyFont="1" applyBorder="1" applyAlignment="1">
      <alignment horizontal="center" vertical="center" textRotation="90" wrapText="1"/>
    </xf>
    <xf numFmtId="0" fontId="40" fillId="0" borderId="70" xfId="0" applyFont="1" applyBorder="1" applyAlignment="1">
      <alignment horizontal="center" vertical="center" textRotation="90" wrapText="1"/>
    </xf>
    <xf numFmtId="0" fontId="40" fillId="0" borderId="69" xfId="0" applyFont="1" applyBorder="1" applyAlignment="1">
      <alignment horizontal="center" vertical="center" textRotation="90"/>
    </xf>
    <xf numFmtId="0" fontId="46" fillId="0" borderId="62" xfId="0" applyFont="1" applyBorder="1" applyAlignment="1">
      <alignment horizontal="center" vertical="center" textRotation="90" wrapText="1"/>
    </xf>
    <xf numFmtId="0" fontId="46" fillId="0" borderId="111" xfId="0" applyFont="1" applyBorder="1" applyAlignment="1">
      <alignment horizontal="center" vertical="center" textRotation="90" wrapText="1"/>
    </xf>
    <xf numFmtId="0" fontId="40" fillId="0" borderId="44" xfId="0" applyFont="1" applyBorder="1" applyAlignment="1">
      <alignment horizontal="center" vertical="center" textRotation="90"/>
    </xf>
    <xf numFmtId="0" fontId="49" fillId="0" borderId="9" xfId="0" applyFont="1" applyBorder="1" applyAlignment="1">
      <alignment horizontal="center" vertical="center" textRotation="90" wrapText="1"/>
    </xf>
    <xf numFmtId="0" fontId="49" fillId="0" borderId="25" xfId="0" applyFont="1" applyBorder="1" applyAlignment="1">
      <alignment horizontal="center" vertical="center" textRotation="90" wrapText="1"/>
    </xf>
    <xf numFmtId="0" fontId="49" fillId="0" borderId="13" xfId="0" applyFont="1" applyBorder="1" applyAlignment="1">
      <alignment horizontal="center" vertical="center" textRotation="90" wrapText="1"/>
    </xf>
    <xf numFmtId="0" fontId="39" fillId="14" borderId="126" xfId="0" applyFont="1" applyFill="1" applyBorder="1" applyAlignment="1">
      <alignment horizontal="right" vertical="center"/>
    </xf>
    <xf numFmtId="0" fontId="39" fillId="14" borderId="93" xfId="0" applyFont="1" applyFill="1" applyBorder="1" applyAlignment="1">
      <alignment horizontal="right" vertical="center"/>
    </xf>
    <xf numFmtId="0" fontId="40" fillId="0" borderId="56" xfId="17" applyFont="1" applyBorder="1" applyAlignment="1">
      <alignment horizontal="center" vertical="center" textRotation="90"/>
    </xf>
    <xf numFmtId="0" fontId="40" fillId="0" borderId="70" xfId="17" applyFont="1" applyBorder="1" applyAlignment="1">
      <alignment horizontal="center" vertical="center" textRotation="90"/>
    </xf>
    <xf numFmtId="0" fontId="49" fillId="0" borderId="113" xfId="17" applyFont="1" applyBorder="1" applyAlignment="1">
      <alignment horizontal="center" vertical="center" textRotation="90" wrapText="1"/>
    </xf>
    <xf numFmtId="0" fontId="49" fillId="0" borderId="62" xfId="17" applyFont="1" applyBorder="1" applyAlignment="1">
      <alignment horizontal="center" vertical="center" textRotation="90" wrapText="1"/>
    </xf>
    <xf numFmtId="0" fontId="49" fillId="0" borderId="111" xfId="17" applyFont="1" applyBorder="1" applyAlignment="1">
      <alignment horizontal="center" vertical="center" textRotation="90" wrapText="1"/>
    </xf>
    <xf numFmtId="0" fontId="39" fillId="5" borderId="126" xfId="17" applyFont="1" applyFill="1" applyBorder="1" applyAlignment="1">
      <alignment horizontal="right" vertical="center"/>
    </xf>
    <xf numFmtId="0" fontId="39" fillId="5" borderId="93" xfId="17" applyFont="1" applyFill="1" applyBorder="1" applyAlignment="1">
      <alignment horizontal="right" vertical="center"/>
    </xf>
    <xf numFmtId="0" fontId="151" fillId="48" borderId="199" xfId="0" applyFont="1" applyFill="1" applyBorder="1" applyAlignment="1">
      <alignment vertical="center"/>
    </xf>
    <xf numFmtId="0" fontId="151" fillId="48" borderId="200" xfId="0" applyFont="1" applyFill="1" applyBorder="1" applyAlignment="1">
      <alignment vertical="center"/>
    </xf>
    <xf numFmtId="0" fontId="151" fillId="48" borderId="201" xfId="0" applyFont="1" applyFill="1" applyBorder="1" applyAlignment="1">
      <alignment vertical="center"/>
    </xf>
    <xf numFmtId="0" fontId="151" fillId="46" borderId="197" xfId="0" applyFont="1" applyFill="1" applyBorder="1" applyAlignment="1">
      <alignment vertical="center"/>
    </xf>
    <xf numFmtId="0" fontId="151" fillId="46" borderId="202" xfId="0" applyFont="1" applyFill="1" applyBorder="1" applyAlignment="1">
      <alignment vertical="center"/>
    </xf>
    <xf numFmtId="0" fontId="151" fillId="46" borderId="203" xfId="0" applyFont="1" applyFill="1" applyBorder="1" applyAlignment="1">
      <alignment vertical="center"/>
    </xf>
    <xf numFmtId="0" fontId="151" fillId="48" borderId="197" xfId="0" applyFont="1" applyFill="1" applyBorder="1" applyAlignment="1">
      <alignment vertical="center"/>
    </xf>
    <xf numFmtId="0" fontId="151" fillId="48" borderId="202" xfId="0" applyFont="1" applyFill="1" applyBorder="1" applyAlignment="1">
      <alignment vertical="center"/>
    </xf>
    <xf numFmtId="0" fontId="151" fillId="48" borderId="203" xfId="0" applyFont="1" applyFill="1" applyBorder="1" applyAlignment="1">
      <alignment vertical="center"/>
    </xf>
    <xf numFmtId="0" fontId="40" fillId="0" borderId="56" xfId="544" applyFont="1" applyBorder="1" applyAlignment="1">
      <alignment horizontal="center" vertical="center" textRotation="90"/>
    </xf>
    <xf numFmtId="0" fontId="40" fillId="0" borderId="70" xfId="544" applyFont="1" applyBorder="1" applyAlignment="1">
      <alignment horizontal="center" vertical="center" textRotation="90"/>
    </xf>
    <xf numFmtId="0" fontId="49" fillId="0" borderId="113" xfId="544" applyFont="1" applyBorder="1" applyAlignment="1">
      <alignment horizontal="center" vertical="center" textRotation="90" wrapText="1"/>
    </xf>
    <xf numFmtId="0" fontId="49" fillId="0" borderId="62" xfId="544" applyFont="1" applyBorder="1" applyAlignment="1">
      <alignment horizontal="center" vertical="center" textRotation="90" wrapText="1"/>
    </xf>
    <xf numFmtId="0" fontId="49" fillId="0" borderId="111" xfId="544" applyFont="1" applyBorder="1" applyAlignment="1">
      <alignment horizontal="center" vertical="center" textRotation="90" wrapText="1"/>
    </xf>
    <xf numFmtId="0" fontId="39" fillId="5" borderId="126" xfId="544" applyFill="1" applyBorder="1" applyAlignment="1">
      <alignment horizontal="right" vertical="center"/>
    </xf>
    <xf numFmtId="0" fontId="39" fillId="5" borderId="93" xfId="544" applyFill="1" applyBorder="1" applyAlignment="1">
      <alignment horizontal="right" vertical="center"/>
    </xf>
    <xf numFmtId="0" fontId="49" fillId="0" borderId="9" xfId="10" applyFont="1" applyBorder="1" applyAlignment="1">
      <alignment horizontal="center" vertical="center" textRotation="90" wrapText="1"/>
    </xf>
    <xf numFmtId="0" fontId="49" fillId="0" borderId="25" xfId="10" applyFont="1" applyBorder="1" applyAlignment="1">
      <alignment horizontal="center" vertical="center" textRotation="90" wrapText="1"/>
    </xf>
    <xf numFmtId="0" fontId="49" fillId="0" borderId="13" xfId="10" applyFont="1" applyBorder="1" applyAlignment="1">
      <alignment horizontal="center" vertical="center" textRotation="90" wrapText="1"/>
    </xf>
    <xf numFmtId="0" fontId="40" fillId="0" borderId="56" xfId="10" applyFont="1" applyBorder="1" applyAlignment="1">
      <alignment horizontal="center" vertical="center" textRotation="90"/>
    </xf>
    <xf numFmtId="0" fontId="40" fillId="0" borderId="70" xfId="10" applyFont="1" applyBorder="1" applyAlignment="1">
      <alignment horizontal="center" vertical="center" textRotation="90"/>
    </xf>
    <xf numFmtId="0" fontId="49" fillId="0" borderId="62" xfId="10" applyFont="1" applyBorder="1" applyAlignment="1">
      <alignment horizontal="center" vertical="center" textRotation="90" wrapText="1"/>
    </xf>
    <xf numFmtId="0" fontId="49" fillId="0" borderId="111" xfId="10" applyFont="1" applyBorder="1" applyAlignment="1">
      <alignment horizontal="center" vertical="center" textRotation="90" wrapText="1"/>
    </xf>
    <xf numFmtId="0" fontId="49" fillId="0" borderId="113" xfId="10" applyFont="1" applyBorder="1" applyAlignment="1">
      <alignment horizontal="center" vertical="center" textRotation="90" wrapText="1"/>
    </xf>
    <xf numFmtId="0" fontId="90" fillId="48" borderId="0" xfId="0" applyFont="1" applyFill="1" applyAlignment="1">
      <alignment horizontal="left" vertical="center" wrapText="1"/>
    </xf>
    <xf numFmtId="0" fontId="90" fillId="46" borderId="0" xfId="0" applyFont="1" applyFill="1" applyAlignment="1">
      <alignment horizontal="left" vertical="center" wrapText="1"/>
    </xf>
    <xf numFmtId="0" fontId="40" fillId="0" borderId="56" xfId="19" applyFont="1" applyBorder="1" applyAlignment="1">
      <alignment horizontal="center" vertical="center" textRotation="90"/>
    </xf>
    <xf numFmtId="0" fontId="40" fillId="0" borderId="70" xfId="19" applyFont="1" applyBorder="1" applyAlignment="1">
      <alignment horizontal="center" vertical="center" textRotation="90"/>
    </xf>
    <xf numFmtId="0" fontId="49" fillId="0" borderId="113" xfId="19" applyFont="1" applyBorder="1" applyAlignment="1">
      <alignment horizontal="center" vertical="center" textRotation="90" wrapText="1"/>
    </xf>
    <xf numFmtId="0" fontId="49" fillId="0" borderId="62" xfId="19" applyFont="1" applyBorder="1" applyAlignment="1">
      <alignment horizontal="center" vertical="center" textRotation="90" wrapText="1"/>
    </xf>
    <xf numFmtId="0" fontId="49" fillId="0" borderId="111" xfId="19" applyFont="1" applyBorder="1" applyAlignment="1">
      <alignment horizontal="center" vertical="center" textRotation="90" wrapText="1"/>
    </xf>
    <xf numFmtId="0" fontId="39" fillId="5" borderId="126" xfId="19" applyFill="1" applyBorder="1" applyAlignment="1">
      <alignment horizontal="right" vertical="center"/>
    </xf>
    <xf numFmtId="0" fontId="39" fillId="5" borderId="93" xfId="19" applyFill="1" applyBorder="1" applyAlignment="1">
      <alignment horizontal="right" vertical="center"/>
    </xf>
    <xf numFmtId="0" fontId="40" fillId="0" borderId="69" xfId="10" applyFont="1" applyBorder="1" applyAlignment="1">
      <alignment horizontal="center" vertical="center" textRotation="90"/>
    </xf>
    <xf numFmtId="0" fontId="46" fillId="0" borderId="62" xfId="10" applyFont="1" applyBorder="1" applyAlignment="1">
      <alignment horizontal="center" vertical="center" textRotation="90" wrapText="1"/>
    </xf>
    <xf numFmtId="0" fontId="46" fillId="0" borderId="111" xfId="10" applyFont="1" applyBorder="1" applyAlignment="1">
      <alignment horizontal="center" vertical="center" textRotation="90" wrapText="1"/>
    </xf>
    <xf numFmtId="0" fontId="42" fillId="18" borderId="211" xfId="10" applyFont="1" applyFill="1" applyBorder="1" applyAlignment="1">
      <alignment horizontal="center"/>
    </xf>
    <xf numFmtId="0" fontId="42" fillId="18" borderId="214" xfId="10" applyFont="1" applyFill="1" applyBorder="1" applyAlignment="1">
      <alignment horizontal="center"/>
    </xf>
    <xf numFmtId="0" fontId="39" fillId="17" borderId="207" xfId="10" applyFont="1" applyFill="1" applyBorder="1" applyAlignment="1">
      <alignment horizontal="center"/>
    </xf>
    <xf numFmtId="0" fontId="39" fillId="17" borderId="209" xfId="10" applyFont="1" applyFill="1" applyBorder="1" applyAlignment="1">
      <alignment horizontal="center"/>
    </xf>
    <xf numFmtId="0" fontId="42" fillId="17" borderId="63" xfId="10" applyFont="1" applyFill="1" applyBorder="1" applyAlignment="1">
      <alignment horizontal="center"/>
    </xf>
    <xf numFmtId="0" fontId="42" fillId="17" borderId="64" xfId="10" applyFont="1" applyFill="1" applyBorder="1" applyAlignment="1">
      <alignment horizontal="center"/>
    </xf>
    <xf numFmtId="0" fontId="39" fillId="16" borderId="69" xfId="10" applyFont="1" applyFill="1" applyBorder="1" applyAlignment="1">
      <alignment horizontal="center"/>
    </xf>
    <xf numFmtId="0" fontId="39" fillId="16" borderId="38" xfId="10" applyFont="1" applyFill="1" applyBorder="1" applyAlignment="1">
      <alignment horizontal="center"/>
    </xf>
    <xf numFmtId="0" fontId="74" fillId="12" borderId="59" xfId="0" applyFont="1" applyFill="1" applyBorder="1" applyAlignment="1">
      <alignment horizontal="left" vertical="center" wrapText="1"/>
    </xf>
    <xf numFmtId="0" fontId="74" fillId="12" borderId="60" xfId="0" applyFont="1" applyFill="1" applyBorder="1" applyAlignment="1">
      <alignment horizontal="left" vertical="center" wrapText="1"/>
    </xf>
    <xf numFmtId="0" fontId="74" fillId="12" borderId="61" xfId="0" applyFont="1" applyFill="1" applyBorder="1" applyAlignment="1">
      <alignment horizontal="left" vertical="center" wrapText="1"/>
    </xf>
    <xf numFmtId="0" fontId="74" fillId="13" borderId="84" xfId="0" applyFont="1" applyFill="1" applyBorder="1" applyAlignment="1">
      <alignment horizontal="left" vertical="center" wrapText="1"/>
    </xf>
    <xf numFmtId="0" fontId="74" fillId="13" borderId="85" xfId="0" applyFont="1" applyFill="1" applyBorder="1" applyAlignment="1">
      <alignment horizontal="left" vertical="center" wrapText="1"/>
    </xf>
    <xf numFmtId="0" fontId="74" fillId="13" borderId="86" xfId="0" applyFont="1" applyFill="1" applyBorder="1" applyAlignment="1">
      <alignment horizontal="left" vertical="center" wrapText="1"/>
    </xf>
    <xf numFmtId="0" fontId="74" fillId="12" borderId="84" xfId="0" applyFont="1" applyFill="1" applyBorder="1" applyAlignment="1">
      <alignment horizontal="left" vertical="center" wrapText="1"/>
    </xf>
    <xf numFmtId="0" fontId="74" fillId="12" borderId="85" xfId="0" applyFont="1" applyFill="1" applyBorder="1" applyAlignment="1">
      <alignment horizontal="left" vertical="center" wrapText="1"/>
    </xf>
    <xf numFmtId="0" fontId="74" fillId="12" borderId="86" xfId="0" applyFont="1" applyFill="1" applyBorder="1" applyAlignment="1">
      <alignment horizontal="left" vertical="center" wrapText="1"/>
    </xf>
    <xf numFmtId="0" fontId="38" fillId="0" borderId="38" xfId="10" applyFont="1" applyBorder="1" applyAlignment="1">
      <alignment horizontal="center"/>
    </xf>
    <xf numFmtId="0" fontId="8" fillId="0" borderId="39" xfId="10" applyBorder="1" applyAlignment="1">
      <alignment horizontal="center"/>
    </xf>
    <xf numFmtId="0" fontId="8" fillId="0" borderId="40" xfId="10" applyBorder="1" applyAlignment="1">
      <alignment horizontal="center"/>
    </xf>
    <xf numFmtId="0" fontId="8" fillId="0" borderId="44" xfId="10" applyBorder="1" applyAlignment="1">
      <alignment horizontal="center"/>
    </xf>
    <xf numFmtId="0" fontId="8" fillId="0" borderId="45" xfId="10" applyBorder="1" applyAlignment="1">
      <alignment horizontal="center"/>
    </xf>
    <xf numFmtId="0" fontId="8" fillId="0" borderId="47" xfId="10" applyBorder="1" applyAlignment="1">
      <alignment horizontal="center"/>
    </xf>
    <xf numFmtId="0" fontId="8" fillId="0" borderId="48" xfId="10" applyBorder="1" applyAlignment="1">
      <alignment horizontal="center"/>
    </xf>
    <xf numFmtId="0" fontId="40" fillId="16" borderId="41" xfId="10" applyFont="1" applyFill="1" applyBorder="1" applyAlignment="1">
      <alignment horizontal="center"/>
    </xf>
    <xf numFmtId="0" fontId="40" fillId="16" borderId="42" xfId="10" applyFont="1" applyFill="1" applyBorder="1" applyAlignment="1">
      <alignment horizontal="center"/>
    </xf>
    <xf numFmtId="0" fontId="40" fillId="16" borderId="43" xfId="10" applyFont="1" applyFill="1" applyBorder="1" applyAlignment="1">
      <alignment horizontal="center"/>
    </xf>
    <xf numFmtId="0" fontId="39" fillId="16" borderId="207" xfId="10" applyFont="1" applyFill="1" applyBorder="1" applyAlignment="1">
      <alignment horizontal="center" textRotation="90" wrapText="1"/>
    </xf>
    <xf numFmtId="0" fontId="40" fillId="16" borderId="44" xfId="10" applyFont="1" applyFill="1" applyBorder="1" applyAlignment="1">
      <alignment horizontal="center" textRotation="90" wrapText="1"/>
    </xf>
    <xf numFmtId="0" fontId="40" fillId="16" borderId="47" xfId="10" applyFont="1" applyFill="1" applyBorder="1" applyAlignment="1">
      <alignment horizontal="center" textRotation="90" wrapText="1"/>
    </xf>
    <xf numFmtId="0" fontId="40" fillId="17" borderId="208" xfId="10" applyFont="1" applyFill="1" applyBorder="1" applyAlignment="1">
      <alignment horizontal="center"/>
    </xf>
    <xf numFmtId="0" fontId="40" fillId="17" borderId="209" xfId="10" applyFont="1" applyFill="1" applyBorder="1" applyAlignment="1">
      <alignment horizontal="center"/>
    </xf>
    <xf numFmtId="0" fontId="40" fillId="17" borderId="210" xfId="10" applyFont="1" applyFill="1" applyBorder="1" applyAlignment="1">
      <alignment horizontal="center"/>
    </xf>
    <xf numFmtId="0" fontId="39" fillId="17" borderId="211" xfId="10" applyFont="1" applyFill="1" applyBorder="1" applyAlignment="1">
      <alignment horizontal="center"/>
    </xf>
    <xf numFmtId="0" fontId="8" fillId="17" borderId="212" xfId="10" applyFill="1" applyBorder="1" applyAlignment="1">
      <alignment horizontal="center"/>
    </xf>
    <xf numFmtId="0" fontId="39" fillId="17" borderId="213" xfId="10" applyFont="1" applyFill="1" applyBorder="1" applyAlignment="1">
      <alignment horizontal="center"/>
    </xf>
    <xf numFmtId="0" fontId="39" fillId="17" borderId="210" xfId="10" applyFont="1" applyFill="1" applyBorder="1" applyAlignment="1">
      <alignment horizontal="center"/>
    </xf>
    <xf numFmtId="0" fontId="39" fillId="5" borderId="126" xfId="10" applyFont="1" applyFill="1" applyBorder="1" applyAlignment="1">
      <alignment horizontal="right" vertical="center"/>
    </xf>
    <xf numFmtId="0" fontId="39" fillId="5" borderId="93" xfId="10" applyFont="1" applyFill="1" applyBorder="1" applyAlignment="1">
      <alignment horizontal="right" vertical="center"/>
    </xf>
    <xf numFmtId="0" fontId="90" fillId="48" borderId="199" xfId="0" applyFont="1" applyFill="1" applyBorder="1" applyAlignment="1">
      <alignment horizontal="left" vertical="center" wrapText="1"/>
    </xf>
    <xf numFmtId="0" fontId="90" fillId="48" borderId="200" xfId="0" applyFont="1" applyFill="1" applyBorder="1" applyAlignment="1">
      <alignment horizontal="left" vertical="center" wrapText="1"/>
    </xf>
    <xf numFmtId="0" fontId="90" fillId="48" borderId="201" xfId="0" applyFont="1" applyFill="1" applyBorder="1" applyAlignment="1">
      <alignment horizontal="left" vertical="center" wrapText="1"/>
    </xf>
    <xf numFmtId="0" fontId="90" fillId="46" borderId="197" xfId="0" applyFont="1" applyFill="1" applyBorder="1" applyAlignment="1">
      <alignment horizontal="left" vertical="center" wrapText="1"/>
    </xf>
    <xf numFmtId="0" fontId="90" fillId="46" borderId="202" xfId="0" applyFont="1" applyFill="1" applyBorder="1" applyAlignment="1">
      <alignment horizontal="left" vertical="center" wrapText="1"/>
    </xf>
    <xf numFmtId="0" fontId="90" fillId="46" borderId="203" xfId="0" applyFont="1" applyFill="1" applyBorder="1" applyAlignment="1">
      <alignment horizontal="left" vertical="center" wrapText="1"/>
    </xf>
    <xf numFmtId="0" fontId="90" fillId="48" borderId="197" xfId="0" applyFont="1" applyFill="1" applyBorder="1" applyAlignment="1">
      <alignment horizontal="left" vertical="center" wrapText="1"/>
    </xf>
    <xf numFmtId="0" fontId="90" fillId="48" borderId="202" xfId="0" applyFont="1" applyFill="1" applyBorder="1" applyAlignment="1">
      <alignment horizontal="left" vertical="center" wrapText="1"/>
    </xf>
    <xf numFmtId="0" fontId="90" fillId="48" borderId="203" xfId="0" applyFont="1" applyFill="1" applyBorder="1" applyAlignment="1">
      <alignment horizontal="left" vertical="center" wrapText="1"/>
    </xf>
    <xf numFmtId="0" fontId="40" fillId="0" borderId="73" xfId="10" applyFont="1" applyBorder="1" applyAlignment="1">
      <alignment horizontal="center" vertical="center" textRotation="90"/>
    </xf>
    <xf numFmtId="0" fontId="40" fillId="0" borderId="44" xfId="10" applyFont="1" applyBorder="1" applyAlignment="1">
      <alignment horizontal="center" vertical="center" textRotation="90"/>
    </xf>
    <xf numFmtId="0" fontId="40" fillId="0" borderId="73" xfId="10" applyFont="1" applyBorder="1" applyAlignment="1">
      <alignment horizontal="center" vertical="center" textRotation="90" wrapText="1"/>
    </xf>
    <xf numFmtId="0" fontId="40" fillId="0" borderId="56" xfId="10" applyFont="1" applyBorder="1" applyAlignment="1">
      <alignment horizontal="center" vertical="center" textRotation="90" wrapText="1"/>
    </xf>
    <xf numFmtId="0" fontId="40" fillId="0" borderId="70" xfId="10" applyFont="1" applyBorder="1" applyAlignment="1">
      <alignment horizontal="center" vertical="center" textRotation="90" wrapText="1"/>
    </xf>
    <xf numFmtId="0" fontId="162" fillId="0" borderId="200" xfId="0" applyFont="1" applyBorder="1" applyAlignment="1">
      <alignment vertical="center"/>
    </xf>
    <xf numFmtId="0" fontId="163" fillId="87" borderId="199" xfId="0" applyFont="1" applyFill="1" applyBorder="1" applyAlignment="1">
      <alignment vertical="center"/>
    </xf>
    <xf numFmtId="0" fontId="163" fillId="87" borderId="200" xfId="0" applyFont="1" applyFill="1" applyBorder="1" applyAlignment="1">
      <alignment vertical="center"/>
    </xf>
    <xf numFmtId="0" fontId="163" fillId="87" borderId="201" xfId="0" applyFont="1" applyFill="1" applyBorder="1" applyAlignment="1">
      <alignment vertical="center"/>
    </xf>
    <xf numFmtId="0" fontId="163" fillId="87" borderId="197" xfId="0" applyFont="1" applyFill="1" applyBorder="1" applyAlignment="1">
      <alignment vertical="center"/>
    </xf>
    <xf numFmtId="0" fontId="163" fillId="87" borderId="202" xfId="0" applyFont="1" applyFill="1" applyBorder="1" applyAlignment="1">
      <alignment vertical="center"/>
    </xf>
    <xf numFmtId="0" fontId="163" fillId="87" borderId="203" xfId="0" applyFont="1" applyFill="1" applyBorder="1" applyAlignment="1">
      <alignment vertical="center"/>
    </xf>
    <xf numFmtId="0" fontId="46" fillId="0" borderId="113" xfId="10" applyFont="1" applyBorder="1" applyAlignment="1">
      <alignment horizontal="center" vertical="center" textRotation="90" wrapText="1"/>
    </xf>
    <xf numFmtId="0" fontId="62" fillId="16" borderId="210" xfId="15" applyFont="1" applyFill="1" applyBorder="1" applyAlignment="1">
      <alignment horizontal="center" vertical="center" wrapText="1"/>
    </xf>
    <xf numFmtId="0" fontId="62" fillId="16" borderId="48" xfId="15" applyFont="1" applyFill="1" applyBorder="1" applyAlignment="1">
      <alignment horizontal="center" vertical="center" wrapText="1"/>
    </xf>
    <xf numFmtId="0" fontId="39" fillId="16" borderId="127" xfId="10" applyFont="1" applyFill="1" applyBorder="1" applyAlignment="1">
      <alignment horizontal="center"/>
    </xf>
    <xf numFmtId="0" fontId="62" fillId="16" borderId="47" xfId="15" applyFont="1" applyFill="1" applyBorder="1" applyAlignment="1">
      <alignment horizontal="center" vertical="center"/>
    </xf>
    <xf numFmtId="0" fontId="62" fillId="16" borderId="6" xfId="15" applyFont="1" applyFill="1" applyBorder="1" applyAlignment="1">
      <alignment horizontal="center" vertical="center"/>
    </xf>
    <xf numFmtId="0" fontId="40" fillId="17" borderId="208" xfId="10" applyFont="1" applyFill="1" applyBorder="1" applyAlignment="1">
      <alignment horizontal="center" vertical="center"/>
    </xf>
    <xf numFmtId="0" fontId="40" fillId="17" borderId="209" xfId="10" applyFont="1" applyFill="1" applyBorder="1" applyAlignment="1">
      <alignment horizontal="center" vertical="center"/>
    </xf>
    <xf numFmtId="0" fontId="40" fillId="17" borderId="52" xfId="10" applyFont="1" applyFill="1" applyBorder="1" applyAlignment="1">
      <alignment horizontal="center"/>
    </xf>
    <xf numFmtId="0" fontId="40" fillId="17" borderId="6" xfId="10" applyFont="1" applyFill="1" applyBorder="1" applyAlignment="1">
      <alignment horizontal="center"/>
    </xf>
    <xf numFmtId="0" fontId="170" fillId="0" borderId="234" xfId="2438" applyFont="1" applyBorder="1" applyAlignment="1">
      <alignment horizontal="center"/>
    </xf>
    <xf numFmtId="0" fontId="170" fillId="0" borderId="235" xfId="2438" applyFont="1" applyBorder="1" applyAlignment="1">
      <alignment horizontal="center"/>
    </xf>
    <xf numFmtId="0" fontId="170" fillId="0" borderId="236" xfId="2438" applyFont="1" applyBorder="1" applyAlignment="1">
      <alignment horizontal="center"/>
    </xf>
    <xf numFmtId="0" fontId="170" fillId="0" borderId="237" xfId="2438" applyFont="1" applyBorder="1" applyAlignment="1">
      <alignment horizontal="center"/>
    </xf>
    <xf numFmtId="0" fontId="165" fillId="90" borderId="0" xfId="2438" applyFont="1" applyFill="1" applyAlignment="1">
      <alignment horizontal="center"/>
    </xf>
    <xf numFmtId="0" fontId="165" fillId="90" borderId="209" xfId="2438" applyFont="1" applyFill="1" applyBorder="1" applyAlignment="1">
      <alignment horizontal="center"/>
    </xf>
    <xf numFmtId="0" fontId="170" fillId="0" borderId="238" xfId="2438" applyFont="1" applyBorder="1" applyAlignment="1">
      <alignment horizontal="center"/>
    </xf>
    <xf numFmtId="0" fontId="170" fillId="89" borderId="234" xfId="2438" applyFont="1" applyFill="1" applyBorder="1" applyAlignment="1">
      <alignment horizontal="center"/>
    </xf>
    <xf numFmtId="0" fontId="170" fillId="89" borderId="235" xfId="2438" applyFont="1" applyFill="1" applyBorder="1" applyAlignment="1">
      <alignment horizontal="center"/>
    </xf>
    <xf numFmtId="0" fontId="170" fillId="89" borderId="236" xfId="2438" applyFont="1" applyFill="1" applyBorder="1" applyAlignment="1">
      <alignment horizontal="center"/>
    </xf>
    <xf numFmtId="0" fontId="170" fillId="89" borderId="237" xfId="2438" applyFont="1" applyFill="1" applyBorder="1" applyAlignment="1">
      <alignment horizontal="center"/>
    </xf>
    <xf numFmtId="0" fontId="171" fillId="0" borderId="234" xfId="2438" applyFont="1" applyBorder="1" applyAlignment="1">
      <alignment horizontal="left" wrapText="1"/>
    </xf>
    <xf numFmtId="0" fontId="171" fillId="0" borderId="235" xfId="2438" applyFont="1" applyBorder="1" applyAlignment="1">
      <alignment horizontal="left" wrapText="1"/>
    </xf>
    <xf numFmtId="0" fontId="171" fillId="0" borderId="236" xfId="2438" applyFont="1" applyBorder="1" applyAlignment="1">
      <alignment horizontal="left" wrapText="1"/>
    </xf>
    <xf numFmtId="0" fontId="171" fillId="0" borderId="237" xfId="2438" applyFont="1" applyBorder="1" applyAlignment="1">
      <alignment horizontal="left" wrapText="1"/>
    </xf>
    <xf numFmtId="0" fontId="169" fillId="0" borderId="234" xfId="2438" applyFont="1" applyBorder="1" applyAlignment="1">
      <alignment horizontal="center"/>
    </xf>
    <xf numFmtId="0" fontId="169" fillId="0" borderId="235" xfId="2438" applyFont="1" applyBorder="1" applyAlignment="1">
      <alignment horizontal="center"/>
    </xf>
    <xf numFmtId="0" fontId="169" fillId="0" borderId="236" xfId="2438" applyFont="1" applyBorder="1" applyAlignment="1">
      <alignment horizontal="center"/>
    </xf>
    <xf numFmtId="0" fontId="169" fillId="0" borderId="237" xfId="2438" applyFont="1" applyBorder="1" applyAlignment="1">
      <alignment horizontal="center"/>
    </xf>
    <xf numFmtId="0" fontId="20" fillId="83" borderId="220" xfId="0" applyFont="1" applyFill="1" applyBorder="1" applyAlignment="1">
      <alignment horizontal="center"/>
    </xf>
    <xf numFmtId="0" fontId="20" fillId="83" borderId="221" xfId="0" applyFont="1" applyFill="1" applyBorder="1" applyAlignment="1">
      <alignment horizontal="center"/>
    </xf>
    <xf numFmtId="0" fontId="20" fillId="83" borderId="222" xfId="0" applyFont="1" applyFill="1" applyBorder="1" applyAlignment="1">
      <alignment horizontal="center"/>
    </xf>
    <xf numFmtId="0" fontId="20" fillId="0" borderId="220" xfId="0" applyFont="1" applyBorder="1" applyAlignment="1">
      <alignment horizontal="center"/>
    </xf>
    <xf numFmtId="0" fontId="20" fillId="0" borderId="221" xfId="0" applyFont="1" applyBorder="1" applyAlignment="1">
      <alignment horizontal="center"/>
    </xf>
    <xf numFmtId="0" fontId="20" fillId="0" borderId="222" xfId="0" applyFont="1" applyBorder="1" applyAlignment="1">
      <alignment horizontal="center"/>
    </xf>
    <xf numFmtId="0" fontId="20" fillId="0" borderId="211" xfId="0" applyFont="1" applyBorder="1" applyAlignment="1">
      <alignment horizontal="center"/>
    </xf>
    <xf numFmtId="0" fontId="20" fillId="0" borderId="212" xfId="0" applyFont="1" applyBorder="1" applyAlignment="1">
      <alignment horizontal="center"/>
    </xf>
    <xf numFmtId="0" fontId="20" fillId="0" borderId="214" xfId="0" applyFont="1" applyBorder="1" applyAlignment="1">
      <alignment horizontal="center"/>
    </xf>
    <xf numFmtId="0" fontId="42" fillId="16" borderId="209" xfId="10" applyFont="1" applyFill="1" applyBorder="1" applyAlignment="1">
      <alignment horizontal="center"/>
    </xf>
    <xf numFmtId="0" fontId="42" fillId="16" borderId="217" xfId="10" applyFont="1" applyFill="1" applyBorder="1" applyAlignment="1">
      <alignment horizontal="center"/>
    </xf>
  </cellXfs>
  <cellStyles count="2440">
    <cellStyle name="???????????" xfId="60" xr:uid="{2CA70EB2-9F1E-4CF5-B468-8666E400A2A6}"/>
    <cellStyle name="???????_2++" xfId="61" xr:uid="{8ED62070-45AE-49EC-AD4C-0248B84A286E}"/>
    <cellStyle name="20 % - Akzent1" xfId="1277" hidden="1" xr:uid="{5998E5F2-CC3B-42A5-ADFF-AFD0E723B5B2}"/>
    <cellStyle name="20 % - Akzent1" xfId="80" hidden="1" xr:uid="{E4A5291F-E351-41C7-9FC9-C6189F4CF2F2}"/>
    <cellStyle name="20 % - Akzent1" xfId="980" hidden="1" xr:uid="{D19AF3FD-3A62-456A-B412-5F4ABB46D8AD}"/>
    <cellStyle name="20 % - Akzent1" xfId="1472" hidden="1" xr:uid="{62CC637B-8440-49A6-BE61-306D6F29C17A}"/>
    <cellStyle name="20 % - Akzent1" xfId="937" hidden="1" xr:uid="{0430A41D-B727-447B-A09B-DD20F5F1CCD0}"/>
    <cellStyle name="20 % - Akzent1" xfId="1455" hidden="1" xr:uid="{791B0D7F-949F-46FC-81FF-A78F68396B8D}"/>
    <cellStyle name="20 % - Akzent1 2" xfId="407" xr:uid="{067AC044-B50C-49B6-9861-2DDF868BDE54}"/>
    <cellStyle name="20 % - Akzent1 3" xfId="276" xr:uid="{25D7F45E-250E-406C-8D6D-1CDF75324E66}"/>
    <cellStyle name="20 % - Akzent2" xfId="983" hidden="1" xr:uid="{EA061194-973F-4D59-955C-B032E9994271}"/>
    <cellStyle name="20 % - Akzent2" xfId="84" hidden="1" xr:uid="{BF5572C2-104E-40DD-8DF1-5303D99A402C}"/>
    <cellStyle name="20 % - Akzent2" xfId="1394" hidden="1" xr:uid="{BC148E72-47EB-4D14-B109-2E12D5C36E18}"/>
    <cellStyle name="20 % - Akzent2" xfId="1517" hidden="1" xr:uid="{8ECE1732-07E8-4724-AA47-AD53778DAC97}"/>
    <cellStyle name="20 % - Akzent2" xfId="1282" hidden="1" xr:uid="{39E5E1DD-49FF-4553-A1A8-3E7F6F9E7BBE}"/>
    <cellStyle name="20 % - Akzent2" xfId="1440" hidden="1" xr:uid="{1B4B24B3-55A3-409F-824B-7AC98AC6791F}"/>
    <cellStyle name="20 % - Akzent2 2" xfId="408" xr:uid="{4A5DD45B-6943-49FD-835C-7CBB0D1814E7}"/>
    <cellStyle name="20 % - Akzent2 3" xfId="277" xr:uid="{035555BD-9C35-42B8-9E7A-D72B2AF74D63}"/>
    <cellStyle name="20 % - Akzent3" xfId="1523" hidden="1" xr:uid="{75F81ED0-3140-4D9B-BB60-32D0A89878FF}"/>
    <cellStyle name="20 % - Akzent3" xfId="1429" hidden="1" xr:uid="{90875C26-A47F-49BE-982F-17DC07155DC9}"/>
    <cellStyle name="20 % - Akzent3" xfId="88" hidden="1" xr:uid="{672937A7-88FF-4AC4-A7B9-09527FE1BC51}"/>
    <cellStyle name="20 % - Akzent3" xfId="987" hidden="1" xr:uid="{BD7D0349-F72A-441B-A9C0-014C42ECE5CF}"/>
    <cellStyle name="20 % - Akzent3" xfId="1174" hidden="1" xr:uid="{F334E2E0-1CDC-4C12-B17B-610714E3823C}"/>
    <cellStyle name="20 % - Akzent3" xfId="1070" hidden="1" xr:uid="{122E1B21-DBF1-49C7-A4C0-3454FADB53C8}"/>
    <cellStyle name="20 % - Akzent3 2" xfId="409" xr:uid="{70404095-9A7A-4676-ADDF-9A0BA0F81598}"/>
    <cellStyle name="20 % - Akzent3 3" xfId="278" xr:uid="{A8DA2641-B6D3-46C9-B464-5EECEBC45696}"/>
    <cellStyle name="20 % - Akzent4" xfId="991" hidden="1" xr:uid="{5146412F-363F-42FF-A795-52A9658AA3AA}"/>
    <cellStyle name="20 % - Akzent4" xfId="92" hidden="1" xr:uid="{23B245EE-0BA6-4689-AABE-3F51FC5D48A4}"/>
    <cellStyle name="20 % - Akzent4" xfId="1436" hidden="1" xr:uid="{B0AE6632-1034-47D6-9BBF-B3C81A283B63}"/>
    <cellStyle name="20 % - Akzent4" xfId="1520" hidden="1" xr:uid="{8CD902E2-1070-4D0B-8662-5A6E10345811}"/>
    <cellStyle name="20 % - Akzent4" xfId="1392" hidden="1" xr:uid="{F5E38DF1-18C8-472E-B30E-9C1BF61B3806}"/>
    <cellStyle name="20 % - Akzent4" xfId="1016" hidden="1" xr:uid="{C294A81F-FE98-469F-9C42-DE052BFDAF6C}"/>
    <cellStyle name="20 % - Akzent4 2" xfId="410" xr:uid="{0F3FA289-A356-4D31-A2B0-37DF00E2AB2D}"/>
    <cellStyle name="20 % - Akzent4 3" xfId="279" xr:uid="{1EC94C05-C7E5-4CBF-9E38-16FCA7125C08}"/>
    <cellStyle name="20 % - Akzent5" xfId="96" hidden="1" xr:uid="{57D9724B-F948-4E07-8FFA-FBF77B3BC3B4}"/>
    <cellStyle name="20 % - Akzent5" xfId="995" hidden="1" xr:uid="{31115CCF-B8FA-473D-B6F0-5372AA0CCBD4}"/>
    <cellStyle name="20 % - Akzent5" xfId="1469" hidden="1" xr:uid="{BC22B658-AFEA-4F23-8BC5-CD94F676E0CB}"/>
    <cellStyle name="20 % - Akzent5" xfId="1482" hidden="1" xr:uid="{8C819178-1D6A-438F-8846-411B8BED13AF}"/>
    <cellStyle name="20 % - Akzent5" xfId="986" hidden="1" xr:uid="{4FB25ED1-361C-4D0C-AF3A-2B0DA4BECF84}"/>
    <cellStyle name="20 % - Akzent5" xfId="1521" hidden="1" xr:uid="{098AEBB1-E51E-4978-960B-0D1565C1AF9A}"/>
    <cellStyle name="20 % - Akzent5 2" xfId="411" xr:uid="{F38D1004-D8B8-480B-905A-AB657857B70D}"/>
    <cellStyle name="20 % - Akzent5 3" xfId="280" xr:uid="{7D1810D2-19EC-412F-B3CD-6165846F8D03}"/>
    <cellStyle name="20 % - Akzent6" xfId="1518" hidden="1" xr:uid="{7219A573-AEA4-442F-AADC-239AEFCF877F}"/>
    <cellStyle name="20 % - Akzent6" xfId="1078" hidden="1" xr:uid="{EF7684B7-B070-4EAD-A7E8-A3A10F0703FD}"/>
    <cellStyle name="20 % - Akzent6" xfId="99" hidden="1" xr:uid="{CBAEB6D6-2E1D-4B99-9381-86499DD03F4C}"/>
    <cellStyle name="20 % - Akzent6" xfId="999" hidden="1" xr:uid="{3CE31124-33CC-4B51-B667-58397FDEC1C1}"/>
    <cellStyle name="20 % - Akzent6" xfId="1268" hidden="1" xr:uid="{48FF1416-F623-462A-90A2-AC5472069417}"/>
    <cellStyle name="20 % - Akzent6" xfId="1069" hidden="1" xr:uid="{77352583-BB01-4B9A-9BDC-336AFD5EE58C}"/>
    <cellStyle name="20 % - Akzent6 2" xfId="412" xr:uid="{F1203828-BDC5-4F3C-A2A2-1374938A06EF}"/>
    <cellStyle name="20 % - Akzent6 3" xfId="281" xr:uid="{03E3E489-2390-4F53-B9C1-100D9E51A60C}"/>
    <cellStyle name="20% - Accent1 2" xfId="113" xr:uid="{5372610A-D17F-4F16-B0C0-1E341692386F}"/>
    <cellStyle name="20% - Accent1 3" xfId="233" xr:uid="{35D92693-02E7-4FC2-BFB6-0FA7BA897C6C}"/>
    <cellStyle name="20% - Accent2 2" xfId="114" xr:uid="{D098AAA0-AB0B-40DA-9C30-0D6DC07B5ED4}"/>
    <cellStyle name="20% - Accent2 3" xfId="234" xr:uid="{1C521092-2EDE-48CB-9D32-8BFC33EF963A}"/>
    <cellStyle name="20% - Accent3 2" xfId="115" xr:uid="{7A2679F9-585E-4878-A1B1-8F4300FF9E47}"/>
    <cellStyle name="20% - Accent3 3" xfId="235" xr:uid="{A85BF03B-25F2-46B7-8765-13A2E5C97347}"/>
    <cellStyle name="20% - Accent4 2" xfId="116" xr:uid="{1F4025A1-E474-4E2E-B92F-08CCFC1FE9E7}"/>
    <cellStyle name="20% - Accent4 3" xfId="236" xr:uid="{00B2B249-C74E-42B3-8795-749A17F26F6C}"/>
    <cellStyle name="20% - Accent5 2" xfId="117" xr:uid="{63607C81-EE6E-45AE-BC30-059A6A7D802B}"/>
    <cellStyle name="20% - Accent5 3" xfId="237" xr:uid="{C2220C9B-4357-4F7A-A1DC-386F4E03D83F}"/>
    <cellStyle name="20% - Accent6 2" xfId="118" xr:uid="{E743252A-17B3-4758-9C61-6AC1B279050A}"/>
    <cellStyle name="20% - Accent6 3" xfId="238" xr:uid="{D41603F9-F213-4887-9EDF-091DBB01013A}"/>
    <cellStyle name="2x indented GHG Textfiels" xfId="29" xr:uid="{AD281C84-DCDD-4A34-9FCC-8B1BB105A14D}"/>
    <cellStyle name="2x indented GHG Textfiels 2" xfId="119" xr:uid="{5190DD86-A10D-4E59-B700-66E61B61CDFA}"/>
    <cellStyle name="2x indented GHG Textfiels 2 2" xfId="120" xr:uid="{590DD318-AF38-4614-B96D-E92A02AA04D8}"/>
    <cellStyle name="2x indented GHG Textfiels 3" xfId="121" xr:uid="{25ED3005-4A76-49D5-9A3C-17776CB82CFD}"/>
    <cellStyle name="2x indented GHG Textfiels 3 2" xfId="434" xr:uid="{B762A209-049D-4C35-8A88-A6B0E3999C75}"/>
    <cellStyle name="2x indented GHG Textfiels 3 2 2" xfId="564" xr:uid="{51F7D417-E9C1-47D2-BFE7-CC0220E89C27}"/>
    <cellStyle name="2x indented GHG Textfiels 3 2 2 2" xfId="779" xr:uid="{3D336415-EDFF-4D98-A899-FF3DF02B91B2}"/>
    <cellStyle name="2x indented GHG Textfiels 3 2 2 2 2" xfId="1073" xr:uid="{7318456F-7E76-410F-99FE-563D0FFF36C1}"/>
    <cellStyle name="2x indented GHG Textfiels 3 2 2 2 3" xfId="1755" xr:uid="{3E53ECB9-319D-4767-84E2-37DA2FC9C76D}"/>
    <cellStyle name="2x indented GHG Textfiels 3 2 2 2 4" xfId="2126" xr:uid="{92013531-B77B-4C35-95F2-DF25A625AB67}"/>
    <cellStyle name="2x indented GHG Textfiels 3 2 2 3" xfId="1024" xr:uid="{09A87A2D-39CA-49A8-9466-B5757B1BEEBC}"/>
    <cellStyle name="2x indented GHG Textfiels 3 2 2 4" xfId="1548" xr:uid="{72D15723-B317-4E0A-94BC-AA2C9E89E594}"/>
    <cellStyle name="2x indented GHG Textfiels 3 2 2 5" xfId="1920" xr:uid="{D7366D0E-A916-414D-9DED-FD6995AA5BC6}"/>
    <cellStyle name="2x indented GHG Textfiels 3 2 3" xfId="742" xr:uid="{AD3DABA1-2C03-4142-B62B-01BE5E02C9E3}"/>
    <cellStyle name="2x indented GHG Textfiels 3 2 3 2" xfId="1085" xr:uid="{D4C0A716-6690-4299-BAEE-3E434DF47C90}"/>
    <cellStyle name="2x indented GHG Textfiels 3 2 3 3" xfId="1718" xr:uid="{C11F06C4-2583-42C8-AB0A-3EC9DB64C629}"/>
    <cellStyle name="2x indented GHG Textfiels 3 2 3 4" xfId="2089" xr:uid="{738F08E8-A120-4FCC-AF01-B9AC6C61C86B}"/>
    <cellStyle name="2x indented GHG Textfiels 3 3" xfId="382" xr:uid="{A1249D20-446B-4EF1-A9AA-845D39730352}"/>
    <cellStyle name="2x indented GHG Textfiels 3 3 2" xfId="669" xr:uid="{4A062341-A07F-435B-8E45-1F76FF96BDCB}"/>
    <cellStyle name="2x indented GHG Textfiels 3 3 2 2" xfId="884" xr:uid="{8C1CD530-1D72-4D50-9D01-DB996907A9B4}"/>
    <cellStyle name="2x indented GHG Textfiels 3 3 2 2 2" xfId="1110" xr:uid="{A697A510-1491-4A00-86DD-C9F07A4350C9}"/>
    <cellStyle name="2x indented GHG Textfiels 3 3 2 2 3" xfId="1860" xr:uid="{5368D6A7-A84C-44E9-B335-469190FB9F00}"/>
    <cellStyle name="2x indented GHG Textfiels 3 3 2 2 4" xfId="2231" xr:uid="{D2EC8AC8-5EA5-4C6A-8689-A698889FC8E1}"/>
    <cellStyle name="2x indented GHG Textfiels 3 3 2 3" xfId="1489" xr:uid="{5AFD33EB-D0C0-4215-B5F4-2CD745713EAB}"/>
    <cellStyle name="2x indented GHG Textfiels 3 3 2 4" xfId="1653" xr:uid="{51C24651-C465-45DB-ABED-4C9DE9200265}"/>
    <cellStyle name="2x indented GHG Textfiels 3 3 2 5" xfId="2025" xr:uid="{818D6FEF-5008-4E6A-A7B2-BBCD39790456}"/>
    <cellStyle name="2x indented GHG Textfiels 3 3 3" xfId="671" xr:uid="{BB628A7B-56BA-42B9-A63B-5B999C8C146A}"/>
    <cellStyle name="2x indented GHG Textfiels 3 3 3 2" xfId="886" xr:uid="{EC3494C2-56B7-437C-B9CF-09C38719AC18}"/>
    <cellStyle name="2x indented GHG Textfiels 3 3 3 2 2" xfId="1314" xr:uid="{6628C9E3-DABC-45C2-9707-8A850AEB1D07}"/>
    <cellStyle name="2x indented GHG Textfiels 3 3 3 2 3" xfId="1862" xr:uid="{23AA6064-5758-4ABA-925D-6BA23CF55446}"/>
    <cellStyle name="2x indented GHG Textfiels 3 3 3 2 4" xfId="2233" xr:uid="{E06F1CC9-96DC-4F44-A7CE-30E4E1686F27}"/>
    <cellStyle name="2x indented GHG Textfiels 3 3 3 3" xfId="954" xr:uid="{CE7AD9AE-9B88-4C80-A134-F91346F90970}"/>
    <cellStyle name="2x indented GHG Textfiels 3 3 3 4" xfId="1655" xr:uid="{BFFB9A3C-1051-4B23-B675-4D0BDCF7C142}"/>
    <cellStyle name="2x indented GHG Textfiels 3 3 3 5" xfId="2027" xr:uid="{A4A671A0-7869-49B2-A6CD-8506D08B7169}"/>
    <cellStyle name="2x indented GHG Textfiels 3 3 4" xfId="567" xr:uid="{63C810AD-90DF-4598-A4FD-BA1032D020BD}"/>
    <cellStyle name="2x indented GHG Textfiels 3 3 4 2" xfId="782" xr:uid="{0BFCEEAF-F07B-4B99-8E80-9C1858CF1456}"/>
    <cellStyle name="2x indented GHG Textfiels 3 3 4 2 2" xfId="1049" xr:uid="{0A6FEC70-487C-4848-A711-C44592820A4A}"/>
    <cellStyle name="2x indented GHG Textfiels 3 3 4 2 3" xfId="1758" xr:uid="{8AB043A5-2950-494A-8150-6EE91332C808}"/>
    <cellStyle name="2x indented GHG Textfiels 3 3 4 2 4" xfId="2129" xr:uid="{FD5D4E47-86E1-4A59-893C-B4E18C0C122E}"/>
    <cellStyle name="2x indented GHG Textfiels 3 3 4 3" xfId="1091" xr:uid="{8DB99737-7A57-4252-B93D-5C06898CAF62}"/>
    <cellStyle name="2x indented GHG Textfiels 3 3 4 4" xfId="1551" xr:uid="{D6C912B1-7CCE-4919-9D64-AB727022A79D}"/>
    <cellStyle name="2x indented GHG Textfiels 3 3 4 5" xfId="1923" xr:uid="{1BC01B78-DF87-478B-AB12-5302FAA4D987}"/>
    <cellStyle name="2x indented GHG Textfiels 3 3 5" xfId="1330" xr:uid="{AB311794-596F-48AE-83B3-56102B0502C0}"/>
    <cellStyle name="2x indented GHG Textfiels 3 3 6" xfId="1408" xr:uid="{27675F97-41AC-4820-90D9-2E694E4CBD41}"/>
    <cellStyle name="2x indented GHG Textfiels 3 3 7" xfId="1232" xr:uid="{5E2E77C2-FD27-473B-A653-E9D7D252133F}"/>
    <cellStyle name="40 % - Akzent1" xfId="981" hidden="1" xr:uid="{32DFBFA5-5C44-42A7-A252-A426966A510F}"/>
    <cellStyle name="40 % - Akzent1" xfId="1450" hidden="1" xr:uid="{7FE5F317-7BB1-4E23-B5B0-D5FF3870D61D}"/>
    <cellStyle name="40 % - Akzent1" xfId="81" hidden="1" xr:uid="{F53F3372-C23E-4C19-A1AA-176FD319A326}"/>
    <cellStyle name="40 % - Akzent1" xfId="1321" hidden="1" xr:uid="{C8155D21-75B0-458A-A1B0-7D4A0CAD7C06}"/>
    <cellStyle name="40 % - Akzent1" xfId="1029" hidden="1" xr:uid="{3A397C9B-70F7-48A2-8438-63AFAC6AAB31}"/>
    <cellStyle name="40 % - Akzent1" xfId="1384" hidden="1" xr:uid="{6618376E-510F-4FD6-B24B-F20A79BEA6AA}"/>
    <cellStyle name="40 % - Akzent1 2" xfId="413" xr:uid="{2566F1C0-9050-46B6-B668-6F95CC2872EA}"/>
    <cellStyle name="40 % - Akzent1 3" xfId="282" xr:uid="{C773C958-121B-42F5-B781-CBF76D29BE43}"/>
    <cellStyle name="40 % - Akzent2" xfId="984" hidden="1" xr:uid="{D5971DAA-FEEB-4FB0-9DC2-6FEB6BCA2B06}"/>
    <cellStyle name="40 % - Akzent2" xfId="1426" hidden="1" xr:uid="{B898EC80-6BC9-446E-9B57-27EB04D1F223}"/>
    <cellStyle name="40 % - Akzent2" xfId="85" hidden="1" xr:uid="{7FAC7307-A6A2-45FC-8DDE-987FF9582A1A}"/>
    <cellStyle name="40 % - Akzent2" xfId="1014" hidden="1" xr:uid="{AD89CB20-B682-46EF-942F-F881DCCC094D}"/>
    <cellStyle name="40 % - Akzent2" xfId="1175" hidden="1" xr:uid="{3C283BFB-BDC6-48C5-8EE4-7C4834309CBC}"/>
    <cellStyle name="40 % - Akzent2" xfId="1476" hidden="1" xr:uid="{6B637EA9-D100-4730-BF78-C7F8F47EEEC2}"/>
    <cellStyle name="40 % - Akzent2 2" xfId="414" xr:uid="{8402006C-9E14-4634-AC87-38F671E3C324}"/>
    <cellStyle name="40 % - Akzent2 3" xfId="283" xr:uid="{DFF271FB-D8F6-4F83-9ACA-B15295FE770F}"/>
    <cellStyle name="40 % - Akzent3" xfId="988" hidden="1" xr:uid="{097B5DB9-BBD6-4109-83D8-8B311E7255E2}"/>
    <cellStyle name="40 % - Akzent3" xfId="89" hidden="1" xr:uid="{FAAFD067-BACE-4220-9697-E55BAF45C330}"/>
    <cellStyle name="40 % - Akzent3" xfId="1376" hidden="1" xr:uid="{8B565D3F-33F9-4461-B295-56EBF0E4692E}"/>
    <cellStyle name="40 % - Akzent3" xfId="1213" hidden="1" xr:uid="{9A225B91-FA5A-4092-91DA-A9735190F5F7}"/>
    <cellStyle name="40 % - Akzent3" xfId="1524" hidden="1" xr:uid="{8C3E7E48-BADA-41C2-B73C-4EDDA7243512}"/>
    <cellStyle name="40 % - Akzent3" xfId="1350" hidden="1" xr:uid="{579B0109-DD26-42AC-AF7F-C3A98041569D}"/>
    <cellStyle name="40 % - Akzent3 2" xfId="415" xr:uid="{B2D612C2-E021-4B38-816E-E087DB29F2DF}"/>
    <cellStyle name="40 % - Akzent3 3" xfId="284" xr:uid="{C7CA5A2C-BD83-4E3E-9010-13360CDF221B}"/>
    <cellStyle name="40 % - Akzent4" xfId="992" hidden="1" xr:uid="{13B51E09-BEBC-4D39-B64D-401B47EBDF22}"/>
    <cellStyle name="40 % - Akzent4" xfId="93" hidden="1" xr:uid="{311A8F2D-AFB6-442D-8A01-AC58E27CCA57}"/>
    <cellStyle name="40 % - Akzent4" xfId="1315" hidden="1" xr:uid="{2B40D53C-70FC-4199-9313-820519ABC7BD}"/>
    <cellStyle name="40 % - Akzent4" xfId="1300" hidden="1" xr:uid="{6F1B5380-2FA8-432F-8A7A-4A172C9C58A1}"/>
    <cellStyle name="40 % - Akzent4" xfId="1522" hidden="1" xr:uid="{CCF6A8D2-2B55-4A18-8723-3804DC1DB034}"/>
    <cellStyle name="40 % - Akzent4" xfId="1185" hidden="1" xr:uid="{4ECFBAF6-2385-4E98-968B-B97433C3B15D}"/>
    <cellStyle name="40 % - Akzent4 2" xfId="416" xr:uid="{1E053C3C-D7B2-4E1A-A4AB-85F1176FCE52}"/>
    <cellStyle name="40 % - Akzent4 3" xfId="285" xr:uid="{EEF9C988-8CFA-428E-BCF9-91006DE6F79C}"/>
    <cellStyle name="40 % - Akzent5" xfId="996" hidden="1" xr:uid="{2159A6C7-DBDC-4E72-BE95-C4B91DCEA6EE}"/>
    <cellStyle name="40 % - Akzent5" xfId="97" hidden="1" xr:uid="{58E95902-3173-4E7A-BC3C-403E6C0A62CA}"/>
    <cellStyle name="40 % - Akzent5" xfId="1360" hidden="1" xr:uid="{D5BD7075-76A3-43F0-ABF0-264C81A4185B}"/>
    <cellStyle name="40 % - Akzent5" xfId="1317" hidden="1" xr:uid="{D89B9609-1303-4290-AC4E-2F9547244779}"/>
    <cellStyle name="40 % - Akzent5" xfId="1351" hidden="1" xr:uid="{D52D8AEF-4858-422B-9289-BA3AEA9AB9A2}"/>
    <cellStyle name="40 % - Akzent5" xfId="1423" hidden="1" xr:uid="{ED27E935-24CD-4578-BC3E-D3F4E6C2FC3A}"/>
    <cellStyle name="40 % - Akzent5 2" xfId="417" xr:uid="{C735DD0A-4268-45A7-AB90-F8666EFBEE42}"/>
    <cellStyle name="40 % - Akzent5 3" xfId="286" xr:uid="{0138DBB9-78DF-4746-9D85-38069719ADB7}"/>
    <cellStyle name="40 % - Akzent6" xfId="1000" hidden="1" xr:uid="{10677B5E-DDFC-4DDA-9889-017C4E694B68}"/>
    <cellStyle name="40 % - Akzent6" xfId="100" hidden="1" xr:uid="{4CEFF2BC-CE1F-4D8B-8D6D-492128713531}"/>
    <cellStyle name="40 % - Akzent6" xfId="1374" hidden="1" xr:uid="{0D69EAB1-F9B0-4FC7-A4F7-53A2D935AFA9}"/>
    <cellStyle name="40 % - Akzent6" xfId="1441" hidden="1" xr:uid="{2573F0CF-6FBA-49EE-9BE2-6FB8B291CA37}"/>
    <cellStyle name="40 % - Akzent6" xfId="1519" hidden="1" xr:uid="{C5790CC2-094D-4174-A32D-3B765B5BC3E1}"/>
    <cellStyle name="40 % - Akzent6" xfId="1309" hidden="1" xr:uid="{D5A9A760-42B7-4EA4-8FF8-0A32816B7039}"/>
    <cellStyle name="40 % - Akzent6 2" xfId="418" xr:uid="{C21F8BCF-24CA-4678-B16D-1AF5F8741C39}"/>
    <cellStyle name="40 % - Akzent6 3" xfId="287" xr:uid="{F1D4AFDC-0F1A-4652-BA75-F57ECB86C46D}"/>
    <cellStyle name="40% - Accent1 2" xfId="122" xr:uid="{5DD2CAE3-4346-4C44-9C8C-A4901A8A7990}"/>
    <cellStyle name="40% - Accent1 3" xfId="239" xr:uid="{CE4B13C3-8941-4592-A63F-3CB2F8710B84}"/>
    <cellStyle name="40% - Accent2 2" xfId="123" xr:uid="{E411C0B6-37DF-47BD-8846-4151E8AF826E}"/>
    <cellStyle name="40% - Accent2 3" xfId="240" xr:uid="{03099A47-61BC-41AA-9C42-6E4B6E82F127}"/>
    <cellStyle name="40% - Accent3 2" xfId="124" xr:uid="{A3394EBF-2167-4E83-9952-ECB75CC8B991}"/>
    <cellStyle name="40% - Accent3 3" xfId="241" xr:uid="{08679D1F-E7BB-4544-A2BB-74CA0F2ABCE7}"/>
    <cellStyle name="40% - Accent4 2" xfId="125" xr:uid="{C4F57BD3-ED34-40C5-AE3A-7E23C79310F2}"/>
    <cellStyle name="40% - Accent4 3" xfId="242" xr:uid="{C79DD2EA-9FBD-4B1B-8433-A7BF47506309}"/>
    <cellStyle name="40% - Accent5 2" xfId="126" xr:uid="{E12DC4C7-0DEB-4827-86BD-F04C1C023D9A}"/>
    <cellStyle name="40% - Accent5 3" xfId="243" xr:uid="{61145C56-470B-41CC-A4BE-FB6525F01163}"/>
    <cellStyle name="40% - Accent6 2" xfId="127" xr:uid="{5C35EE70-7869-40CE-B198-015A3BC64A8D}"/>
    <cellStyle name="40% - Accent6 3" xfId="244" xr:uid="{6DCB9A06-6A85-47A5-A70B-5981B966568E}"/>
    <cellStyle name="5x indented GHG Textfiels" xfId="16" xr:uid="{CEA07820-3E37-4833-AD2D-1CB70C9CCC35}"/>
    <cellStyle name="5x indented GHG Textfiels 2" xfId="128" xr:uid="{C823A8F3-BFC1-4429-AB52-0D5430162640}"/>
    <cellStyle name="5x indented GHG Textfiels 2 2" xfId="129" xr:uid="{7D43F8AD-6C6C-45B4-9972-C721B7C832BA}"/>
    <cellStyle name="5x indented GHG Textfiels 3" xfId="130" xr:uid="{9E3D0619-33C9-458D-AB4A-7B665E1EA398}"/>
    <cellStyle name="5x indented GHG Textfiels 3 2" xfId="435" xr:uid="{9FBD89D5-6F6F-4523-8432-A98BE82B311B}"/>
    <cellStyle name="5x indented GHG Textfiels 3 3" xfId="383" xr:uid="{072CAA1F-6927-4F99-A621-E3565B49460B}"/>
    <cellStyle name="5x indented GHG Textfiels 3 3 2" xfId="670" xr:uid="{FB761513-FD39-4C3D-AB63-3FCF3C382EA7}"/>
    <cellStyle name="5x indented GHG Textfiels 3 3 2 2" xfId="885" xr:uid="{D7CE8501-8FB9-41DF-9409-35BDCC37988D}"/>
    <cellStyle name="5x indented GHG Textfiels 3 3 2 2 2" xfId="1265" xr:uid="{E7A77F26-F992-402D-8BA3-38834659F482}"/>
    <cellStyle name="5x indented GHG Textfiels 3 3 2 2 3" xfId="1861" xr:uid="{60EF018C-AF68-46E8-A666-74635A46CD27}"/>
    <cellStyle name="5x indented GHG Textfiels 3 3 2 2 4" xfId="2232" xr:uid="{BA46A289-1227-4D53-8EB6-2AD041DEB531}"/>
    <cellStyle name="5x indented GHG Textfiels 3 3 2 3" xfId="1215" xr:uid="{7BA50719-7369-42C8-AF9E-3190FD809EBD}"/>
    <cellStyle name="5x indented GHG Textfiels 3 3 2 4" xfId="1654" xr:uid="{31A39935-3AAE-4F41-979C-2B804E577CF3}"/>
    <cellStyle name="5x indented GHG Textfiels 3 3 2 5" xfId="2026" xr:uid="{6D1170AC-4A8D-45EB-A6F7-D8B931AA78FB}"/>
    <cellStyle name="5x indented GHG Textfiels 3 3 3" xfId="617" xr:uid="{7A2E6B35-9445-4A98-BAB7-4C21D4527B33}"/>
    <cellStyle name="5x indented GHG Textfiels 3 3 3 2" xfId="832" xr:uid="{EB0B3991-1756-44BD-841C-40A8261957ED}"/>
    <cellStyle name="5x indented GHG Textfiels 3 3 3 2 2" xfId="1222" xr:uid="{6FAEB55C-B225-4099-B3A3-ED09BFAD9187}"/>
    <cellStyle name="5x indented GHG Textfiels 3 3 3 2 3" xfId="1808" xr:uid="{BEB44198-215A-4A42-BDBF-7CEBBA37FBDB}"/>
    <cellStyle name="5x indented GHG Textfiels 3 3 3 2 4" xfId="2179" xr:uid="{CA528CEF-3316-46B9-B2B8-19AC2DD76092}"/>
    <cellStyle name="5x indented GHG Textfiels 3 3 3 3" xfId="1146" xr:uid="{AE800B7C-5C46-4D76-B277-76579CC99A8D}"/>
    <cellStyle name="5x indented GHG Textfiels 3 3 3 4" xfId="1601" xr:uid="{137D10F5-6F32-4120-B39B-4C9155AF33E0}"/>
    <cellStyle name="5x indented GHG Textfiels 3 3 3 5" xfId="1973" xr:uid="{E44C0870-356A-4542-A4B6-86030D1C4FC6}"/>
    <cellStyle name="5x indented GHG Textfiels 3 3 4" xfId="701" xr:uid="{D4E1404D-49C8-4B02-AA88-610605FA0624}"/>
    <cellStyle name="5x indented GHG Textfiels 3 3 4 2" xfId="916" xr:uid="{46D40126-3389-466A-9396-B87B838530C7}"/>
    <cellStyle name="5x indented GHG Textfiels 3 3 4 2 2" xfId="1508" xr:uid="{734A932F-A7D4-4AAF-BD4A-0C8A01B28032}"/>
    <cellStyle name="5x indented GHG Textfiels 3 3 4 2 3" xfId="1892" xr:uid="{E2226E90-DE98-4A09-8820-CC9111F2E87B}"/>
    <cellStyle name="5x indented GHG Textfiels 3 3 4 2 4" xfId="2263" xr:uid="{E7C7EAC7-3CF0-47E7-9F8D-C67FF3F1AE7C}"/>
    <cellStyle name="5x indented GHG Textfiels 3 3 4 3" xfId="949" xr:uid="{3243C1E3-A993-4FE3-BEFD-074907A4AAC4}"/>
    <cellStyle name="5x indented GHG Textfiels 3 3 4 4" xfId="1685" xr:uid="{3D0DF304-E935-4344-B504-B3A2187FC383}"/>
    <cellStyle name="5x indented GHG Textfiels 3 3 4 5" xfId="2057" xr:uid="{1B110593-4ADB-4AB1-838F-A36C0975D01F}"/>
    <cellStyle name="5x indented GHG Textfiels 3 3 5" xfId="738" xr:uid="{94EA9C8D-415F-4590-AFAE-40F30FE6782A}"/>
    <cellStyle name="5x indented GHG Textfiels 3 3 6" xfId="75" xr:uid="{85098B97-9561-4F4E-9D4C-6FD082CA23C1}"/>
    <cellStyle name="5x indented GHG Textfiels 3 3 7" xfId="1367" xr:uid="{3F5AD7E2-E823-4133-ABD8-0C077B948B13}"/>
    <cellStyle name="5x indented GHG Textfiels 3 3 8" xfId="1080" xr:uid="{EF6561FF-35C7-4340-BD38-CEB338363F1F}"/>
    <cellStyle name="5x indented GHG Textfiels_Table 4(II)" xfId="225" xr:uid="{6F1406F4-EDEA-47E1-A22F-05787E206B3A}"/>
    <cellStyle name="60 % - Akzent1" xfId="982" hidden="1" xr:uid="{E49AB9B6-8202-415C-A473-C14528E187EF}"/>
    <cellStyle name="60 % - Akzent1" xfId="1337" hidden="1" xr:uid="{6F20C6FF-3450-4216-A7EC-4FC847547784}"/>
    <cellStyle name="60 % - Akzent1" xfId="82" hidden="1" xr:uid="{9D7758CE-8875-496E-B51A-2D5F1F335514}"/>
    <cellStyle name="60 % - Akzent1" xfId="1371" hidden="1" xr:uid="{A58DC0AF-671B-4CAA-A075-9DCD2D7288BE}"/>
    <cellStyle name="60 % - Akzent1" xfId="1271" hidden="1" xr:uid="{A37A5E3D-DB56-4A51-8129-50FBC7F49915}"/>
    <cellStyle name="60 % - Akzent1" xfId="1032" hidden="1" xr:uid="{BF8D9103-1B82-4C8D-AD86-969073CFE863}"/>
    <cellStyle name="60 % - Akzent1 2" xfId="419" xr:uid="{BA02AA72-BDCC-4DA6-BE53-AEC071618E7F}"/>
    <cellStyle name="60 % - Akzent1 3" xfId="288" xr:uid="{F2A7FCCF-5BA6-49CE-8BCE-0060BF41282A}"/>
    <cellStyle name="60 % - Akzent2" xfId="985" hidden="1" xr:uid="{F0778F89-E4B6-4310-901C-8BCA538F2700}"/>
    <cellStyle name="60 % - Akzent2" xfId="1306" hidden="1" xr:uid="{27A4B934-8B0D-4BB0-9E66-F72C674C73AD}"/>
    <cellStyle name="60 % - Akzent2" xfId="86" hidden="1" xr:uid="{2C6074C4-A2FB-4DCD-A2C5-8C4E8FC8E913}"/>
    <cellStyle name="60 % - Akzent2" xfId="1461" hidden="1" xr:uid="{E02903BB-9D8C-4E12-AD5E-A8ADCECD0B74}"/>
    <cellStyle name="60 % - Akzent2" xfId="1525" hidden="1" xr:uid="{BEA56DD6-4856-4BDB-BCB6-0FDEBE972C82}"/>
    <cellStyle name="60 % - Akzent2" xfId="1473" hidden="1" xr:uid="{C08FD134-A404-43A7-BC64-CE5E4DDCE9AC}"/>
    <cellStyle name="60 % - Akzent2 2" xfId="420" xr:uid="{61ACEDBC-3CFE-487D-96CB-DC38A3F86ECF}"/>
    <cellStyle name="60 % - Akzent2 3" xfId="289" xr:uid="{79D1F0AD-E4EA-4DFB-B1D7-4D65651578A7}"/>
    <cellStyle name="60 % - Akzent3" xfId="989" hidden="1" xr:uid="{E58826B5-126E-4E23-9CFD-0B4F70E2073A}"/>
    <cellStyle name="60 % - Akzent3" xfId="1463" hidden="1" xr:uid="{192AE991-1CE5-4F73-B68F-C6ECD6F540FD}"/>
    <cellStyle name="60 % - Akzent3" xfId="90" hidden="1" xr:uid="{CDC2FE1A-45AE-46EC-A5E5-F9FA14B5D606}"/>
    <cellStyle name="60 % - Akzent3" xfId="1097" hidden="1" xr:uid="{590BFDAE-0D76-43FE-A39A-DE3E55B3DAC5}"/>
    <cellStyle name="60 % - Akzent3" xfId="1100" hidden="1" xr:uid="{95A42B6D-CE85-4509-B1ED-544976F5709D}"/>
    <cellStyle name="60 % - Akzent3" xfId="1198" hidden="1" xr:uid="{E3173634-2984-441F-83BE-ACCA71CCAC99}"/>
    <cellStyle name="60 % - Akzent3 2" xfId="421" xr:uid="{05E43AA3-2F56-43B0-A8CE-60A5850D9DE1}"/>
    <cellStyle name="60 % - Akzent3 3" xfId="290" xr:uid="{A9C219BB-010D-42D3-A507-904AD1A3650E}"/>
    <cellStyle name="60 % - Akzent4" xfId="993" hidden="1" xr:uid="{93AFB5CD-3148-4BF4-9DA6-B21835476DBD}"/>
    <cellStyle name="60 % - Akzent4" xfId="1111" hidden="1" xr:uid="{27B8DF3E-BC85-4729-9A70-FA8093FD8F4E}"/>
    <cellStyle name="60 % - Akzent4" xfId="94" hidden="1" xr:uid="{F38AD95E-092A-4C7F-8ECC-E20F3EB531DE}"/>
    <cellStyle name="60 % - Akzent4" xfId="1481" hidden="1" xr:uid="{F3E587E6-B7D8-4C39-97DB-B7922E7D024B}"/>
    <cellStyle name="60 % - Akzent4" xfId="967" hidden="1" xr:uid="{8F32B811-B0BF-4B3C-BCA4-A452E4E6BFDA}"/>
    <cellStyle name="60 % - Akzent4" xfId="1250" hidden="1" xr:uid="{2529E816-5032-4329-B798-C24930085E4B}"/>
    <cellStyle name="60 % - Akzent4 2" xfId="422" xr:uid="{93874E5B-6ED9-42EE-9BD9-281A730B0C8F}"/>
    <cellStyle name="60 % - Akzent4 3" xfId="291" xr:uid="{3129B9EE-F4FD-4327-9E40-F288084B2D3A}"/>
    <cellStyle name="60 % - Akzent5" xfId="997" hidden="1" xr:uid="{A7EA69A6-8F4A-4B0C-8D45-D1BA777E424D}"/>
    <cellStyle name="60 % - Akzent5" xfId="1421" hidden="1" xr:uid="{51D3B9DF-E7F8-4AE1-9BE3-B48BCA983093}"/>
    <cellStyle name="60 % - Akzent5" xfId="98" hidden="1" xr:uid="{629BA659-817A-4386-9C1C-9D8E762289D2}"/>
    <cellStyle name="60 % - Akzent5" xfId="998" hidden="1" xr:uid="{251593B8-FE8D-42AF-BE0F-6625C7C7C4B2}"/>
    <cellStyle name="60 % - Akzent5" xfId="1361" hidden="1" xr:uid="{9A8BC23B-2F48-4232-B885-72E282043FD6}"/>
    <cellStyle name="60 % - Akzent5" xfId="1128" hidden="1" xr:uid="{A67DDDA5-27ED-48E6-A0B4-BFC387FC4F01}"/>
    <cellStyle name="60 % - Akzent5 2" xfId="423" xr:uid="{F6634AB6-2C21-4F33-B36B-0E2FF9851678}"/>
    <cellStyle name="60 % - Akzent5 3" xfId="292" xr:uid="{D393A69A-97C5-4484-8C96-129270EC4651}"/>
    <cellStyle name="60 % - Akzent6" xfId="1001" hidden="1" xr:uid="{C309DE0F-4994-4368-A070-FBE3BBB3D7D6}"/>
    <cellStyle name="60 % - Akzent6" xfId="101" hidden="1" xr:uid="{59EF7B71-5B97-4CA6-B1C6-9E373FD3AB7D}"/>
    <cellStyle name="60 % - Akzent6" xfId="1438" hidden="1" xr:uid="{F54C93EA-D95A-4CAA-96F3-9D50D432698C}"/>
    <cellStyle name="60 % - Akzent6" xfId="1089" hidden="1" xr:uid="{3A87A03A-51B9-460E-B516-52246C512B57}"/>
    <cellStyle name="60 % - Akzent6" xfId="1344" hidden="1" xr:uid="{C22E5BAC-E391-42CB-B223-F8670A6EF049}"/>
    <cellStyle name="60 % - Akzent6" xfId="1021" hidden="1" xr:uid="{B001B264-87E6-4156-AE31-7C69E30A645A}"/>
    <cellStyle name="60 % - Akzent6 2" xfId="424" xr:uid="{813946C3-4C31-48F0-97AA-EA32108C663C}"/>
    <cellStyle name="60 % - Akzent6 3" xfId="293" xr:uid="{C3086A51-1BB3-4889-9104-D38CF861C22D}"/>
    <cellStyle name="60% - Accent1 2" xfId="131" xr:uid="{4CE9C742-FF56-4341-BAAC-F4937558F933}"/>
    <cellStyle name="60% - Accent1 3" xfId="245" xr:uid="{EA75C631-6246-410F-A4FC-6CBF525C32E3}"/>
    <cellStyle name="60% - Accent2 2" xfId="132" xr:uid="{606CDA22-7EED-43CE-AB51-5326DFAAE008}"/>
    <cellStyle name="60% - Accent2 3" xfId="246" xr:uid="{D4F47A64-D756-4E4A-B42E-2CDE1795A473}"/>
    <cellStyle name="60% - Accent3 2" xfId="133" xr:uid="{317578C9-D4DA-402D-B1BA-6CCC7D79F974}"/>
    <cellStyle name="60% - Accent3 3" xfId="247" xr:uid="{BD5472CF-B599-47E6-BD7A-F57932F24244}"/>
    <cellStyle name="60% - Accent4 2" xfId="134" xr:uid="{8887A3C2-F8B8-42EB-B69A-E9FC68DDDCB3}"/>
    <cellStyle name="60% - Accent4 3" xfId="248" xr:uid="{7E576E6A-9493-4718-AB32-15ED7B985D9A}"/>
    <cellStyle name="60% - Accent5 2" xfId="135" xr:uid="{0D299495-0C12-4897-AA76-A957F6A5498F}"/>
    <cellStyle name="60% - Accent5 3" xfId="249" xr:uid="{755EE0CE-1B31-44C9-8450-FA19B57BE5A5}"/>
    <cellStyle name="60% - Accent6 2" xfId="136" xr:uid="{2F566CBD-04CB-4A7E-B74D-8821F0F880F6}"/>
    <cellStyle name="60% - Accent6 3" xfId="250" xr:uid="{BD766DBE-C6A0-409A-B3EE-36EFEB3007C2}"/>
    <cellStyle name="Accent1 2" xfId="137" xr:uid="{C3C61439-A1DA-4A6F-AA9B-830AEBB8AF4A}"/>
    <cellStyle name="Accent1 3" xfId="251" xr:uid="{029D4088-4884-42DC-8071-D37DC154BF5F}"/>
    <cellStyle name="Accent1 4" xfId="384" xr:uid="{BCAAD469-622E-4060-A73E-B777DCA3F4C4}"/>
    <cellStyle name="Accent2 2" xfId="138" xr:uid="{4ABEA6BC-6E67-4BB1-8737-2ECC37736EF5}"/>
    <cellStyle name="Accent2 3" xfId="252" xr:uid="{FD11C961-573D-4D52-8168-BBAA11349DAE}"/>
    <cellStyle name="Accent2 4" xfId="385" xr:uid="{14A92181-02C2-466F-9FF3-E788974504BB}"/>
    <cellStyle name="Accent3 2" xfId="139" xr:uid="{A33FB452-6FA6-4D1C-9A07-DDC9C07D08E1}"/>
    <cellStyle name="Accent3 3" xfId="253" xr:uid="{9ABC926C-9007-47DE-9626-1F45B4AA297C}"/>
    <cellStyle name="Accent3 4" xfId="386" xr:uid="{C8AE5C66-D614-445B-B98F-D66B8EC00A55}"/>
    <cellStyle name="Accent4 2" xfId="140" xr:uid="{5C7EEB6D-900B-4542-8D8E-82CDA2B8A5D9}"/>
    <cellStyle name="Accent4 3" xfId="254" xr:uid="{381507D1-6DD5-4C65-9601-6535ACD41093}"/>
    <cellStyle name="Accent4 4" xfId="387" xr:uid="{A3489DFE-6D57-40FA-9E00-CC18CD34327A}"/>
    <cellStyle name="Accent5 2" xfId="141" xr:uid="{9717D0D3-A65D-4008-A4EC-9278893452A0}"/>
    <cellStyle name="Accent5 3" xfId="255" xr:uid="{937F41EA-D8E8-4FF6-A2CF-3021660E0270}"/>
    <cellStyle name="Accent5 4" xfId="388" xr:uid="{28B3DB5F-DBA6-42E0-AAD2-059FB5834CEB}"/>
    <cellStyle name="Accent6 2" xfId="142" xr:uid="{5E70A6F2-531B-4D5D-BF49-90F2E95D1C0C}"/>
    <cellStyle name="Accent6 3" xfId="256" xr:uid="{FC25CFEA-62E9-48E8-A65F-2625ED18B212}"/>
    <cellStyle name="Accent6 4" xfId="389" xr:uid="{C40135AA-FDAE-48A3-A253-917C64A1796D}"/>
    <cellStyle name="AggblueBoldCels" xfId="143" xr:uid="{5A3DF743-ADD0-452D-8E9A-9C6006961B8E}"/>
    <cellStyle name="AggblueBoldCels 2" xfId="144" xr:uid="{191374FE-0B43-41B5-B3A2-05EAC364E911}"/>
    <cellStyle name="AggblueCels" xfId="55" xr:uid="{5DAEE6D7-CE3E-4991-B14C-BB838497653B}"/>
    <cellStyle name="AggblueCels 2" xfId="145" xr:uid="{3DFD2CC2-12D5-4923-927A-9C7908A341A7}"/>
    <cellStyle name="AggblueCels_1x" xfId="54" xr:uid="{1BF7B860-7EE8-4B1B-80A3-B92CF4417958}"/>
    <cellStyle name="AggBoldCells" xfId="27" xr:uid="{DDD0C2B4-7E73-44EC-BB91-59B451F0F9E7}"/>
    <cellStyle name="AggBoldCells 2" xfId="146" xr:uid="{02998A3C-C032-4EAB-A41E-E9681CBC36C9}"/>
    <cellStyle name="AggBoldCells 3" xfId="226" xr:uid="{525BC162-C42C-4107-817A-1D6C5D814C6B}"/>
    <cellStyle name="AggBoldCells 4" xfId="378" xr:uid="{5582B29B-AEE8-460C-9E9E-E147DD1D8F5C}"/>
    <cellStyle name="AggCels" xfId="30" xr:uid="{178A09F5-A30D-4048-8822-360EAAE62CA7}"/>
    <cellStyle name="AggCels 2" xfId="147" xr:uid="{10ADFBD9-6413-48FE-99C8-A9E095911AB5}"/>
    <cellStyle name="AggCels 3" xfId="227" xr:uid="{C027386D-A295-4AB3-B718-0BA7C401DE28}"/>
    <cellStyle name="AggCels 4" xfId="379" xr:uid="{A7FE75C0-3B96-482B-BB4C-352C1CFF8EEE}"/>
    <cellStyle name="AggCels_T(2)" xfId="28" xr:uid="{4F107CE3-B6FF-4DDF-9104-E686C194F889}"/>
    <cellStyle name="AggGreen" xfId="45" xr:uid="{B7375D7E-6B90-49A7-892E-8378320B7508}"/>
    <cellStyle name="AggGreen 2" xfId="148" xr:uid="{8CACBFE3-3111-4CBE-A061-904DDF695365}"/>
    <cellStyle name="AggGreen 2 2" xfId="437" xr:uid="{09D54AC6-3B34-45E3-9FD7-3CBF01368FA2}"/>
    <cellStyle name="AggGreen 2 2 2" xfId="614" xr:uid="{459A0160-5179-4011-9802-30341E3D9D92}"/>
    <cellStyle name="AggGreen 2 2 2 2" xfId="829" xr:uid="{905F47E3-D8EF-4D46-8998-92FFBF85116A}"/>
    <cellStyle name="AggGreen 2 2 2 2 2" xfId="1134" xr:uid="{DB4E0480-9842-4C02-AA7E-AAD5F3795B12}"/>
    <cellStyle name="AggGreen 2 2 2 2 3" xfId="1805" xr:uid="{EB8D60FE-2A9B-4AF6-88DF-D4EAE44EBDCC}"/>
    <cellStyle name="AggGreen 2 2 2 2 4" xfId="2176" xr:uid="{D7858307-65C0-453E-B178-7E21967A0FAC}"/>
    <cellStyle name="AggGreen 2 2 2 3" xfId="1390" xr:uid="{FDD42188-8EFD-45D7-BD4B-A0C83B91D548}"/>
    <cellStyle name="AggGreen 2 2 2 4" xfId="1598" xr:uid="{7D12496C-7360-420F-AE75-2F500BF1AC3B}"/>
    <cellStyle name="AggGreen 2 2 2 5" xfId="1970" xr:uid="{4CDF260A-712D-443B-834C-DFBE6065E010}"/>
    <cellStyle name="AggGreen 2 2 3" xfId="744" xr:uid="{8DCD6113-E13E-4A3E-940C-05D69BB5089F}"/>
    <cellStyle name="AggGreen 2 2 3 2" xfId="1212" xr:uid="{896FEE7E-41F9-4E49-8BB9-8880B89AE508}"/>
    <cellStyle name="AggGreen 2 2 3 3" xfId="1720" xr:uid="{BCAB08FD-A420-457F-8AC5-230ECC0499DA}"/>
    <cellStyle name="AggGreen 2 2 3 4" xfId="2091" xr:uid="{05457BE3-0F75-4E47-BA0C-D22978D3B595}"/>
    <cellStyle name="AggGreen 2 3" xfId="295" xr:uid="{4E91D060-B23F-4A67-AAD9-4684CD8B52F5}"/>
    <cellStyle name="AggGreen 2 3 2" xfId="634" xr:uid="{5AB075B4-7CDD-4A16-A5C6-632D3FBC9836}"/>
    <cellStyle name="AggGreen 2 3 2 2" xfId="849" xr:uid="{8B682A41-D619-4018-B60C-9F3975FD4E57}"/>
    <cellStyle name="AggGreen 2 3 2 2 2" xfId="1296" xr:uid="{947C40CF-834B-4A5A-9550-4ED7908DA8EF}"/>
    <cellStyle name="AggGreen 2 3 2 2 3" xfId="1825" xr:uid="{A42B3B5B-4BB0-441F-AF60-4DB5D4D87603}"/>
    <cellStyle name="AggGreen 2 3 2 2 4" xfId="2196" xr:uid="{E6936F84-3237-4DE4-B9BD-7126DED258EE}"/>
    <cellStyle name="AggGreen 2 3 2 3" xfId="945" xr:uid="{CED3D208-6AB2-478B-B8E7-BC106A7ED900}"/>
    <cellStyle name="AggGreen 2 3 2 4" xfId="1618" xr:uid="{E42F7407-D39B-461A-86CD-8F42837B85CA}"/>
    <cellStyle name="AggGreen 2 3 2 5" xfId="1990" xr:uid="{259CC3E6-6922-45DD-8DBC-4858C931F574}"/>
    <cellStyle name="AggGreen 2 3 3" xfId="703" xr:uid="{87CBE2DA-FCA6-4869-9090-F597553A3B98}"/>
    <cellStyle name="AggGreen 2 3 3 2" xfId="918" xr:uid="{0B1291FF-0BDA-4360-A92D-1A6BA1F497C3}"/>
    <cellStyle name="AggGreen 2 3 3 2 2" xfId="1510" xr:uid="{8A067207-A487-4EF4-A2C3-E55B4C09CCE6}"/>
    <cellStyle name="AggGreen 2 3 3 2 3" xfId="1894" xr:uid="{9A98BB19-68F7-44C9-9407-723F858196FB}"/>
    <cellStyle name="AggGreen 2 3 3 2 4" xfId="2265" xr:uid="{1201B664-B274-44BB-8C52-28422053C463}"/>
    <cellStyle name="AggGreen 2 3 3 3" xfId="1386" xr:uid="{49D8CC8F-56E4-48F0-A39D-68AC2AEDD6F8}"/>
    <cellStyle name="AggGreen 2 3 3 4" xfId="1687" xr:uid="{D5CDDE4E-E2FF-4E77-9D20-0F0E98A49616}"/>
    <cellStyle name="AggGreen 2 3 3 5" xfId="2059" xr:uid="{D06946CC-3B29-4FB1-9D7A-9025BC9CC95A}"/>
    <cellStyle name="AggGreen 2 3 4" xfId="699" xr:uid="{5F020E2D-AFDA-4FA5-93CD-4B8431AA0E96}"/>
    <cellStyle name="AggGreen 2 3 4 2" xfId="914" xr:uid="{A4876584-136A-411C-8D6A-815B7C69167E}"/>
    <cellStyle name="AggGreen 2 3 4 2 2" xfId="1506" xr:uid="{92B23C64-1814-4E8B-80AA-4194BE3A9C37}"/>
    <cellStyle name="AggGreen 2 3 4 2 3" xfId="1890" xr:uid="{DEB53262-67C7-4C16-B304-138CE4E3F654}"/>
    <cellStyle name="AggGreen 2 3 4 2 4" xfId="2261" xr:uid="{B667C487-B42C-4ABA-9ACD-17602C1E43D1}"/>
    <cellStyle name="AggGreen 2 3 4 3" xfId="1031" xr:uid="{C4185E1F-00DA-412C-A1A3-D3F3F63E4A0C}"/>
    <cellStyle name="AggGreen 2 3 4 4" xfId="1683" xr:uid="{79B8BD97-6914-4166-B271-29A2F5DA500C}"/>
    <cellStyle name="AggGreen 2 3 4 5" xfId="2055" xr:uid="{3AEFE5FA-35DB-48CB-9AB2-1EF891ED6D93}"/>
    <cellStyle name="AggGreen 2 3 5" xfId="957" xr:uid="{6B4A340F-6F02-4784-8D9A-48C1CC7164F9}"/>
    <cellStyle name="AggGreen 2 3 6" xfId="1195" xr:uid="{AE2C06A9-6646-4FA8-B35A-5C611B82211E}"/>
    <cellStyle name="AggGreen 2 3 7" xfId="1061" xr:uid="{3D203BC6-3E11-4187-957C-154C33D46754}"/>
    <cellStyle name="AggGreen 3" xfId="436" xr:uid="{C53C0277-1D2C-44F0-9770-B5DDBDC1ACCB}"/>
    <cellStyle name="AggGreen 3 2" xfId="563" xr:uid="{EE883938-2853-4EAF-9D3F-EC6BFDE53A55}"/>
    <cellStyle name="AggGreen 3 2 2" xfId="778" xr:uid="{79595B6C-D92E-4DCA-9242-43936C17868A}"/>
    <cellStyle name="AggGreen 3 2 2 2" xfId="1062" xr:uid="{D4B8CCFF-C4E0-4CB3-B4C9-8A331A3BFE0C}"/>
    <cellStyle name="AggGreen 3 2 2 3" xfId="1754" xr:uid="{187AF051-17A6-420A-A81C-2169BDD6F5C3}"/>
    <cellStyle name="AggGreen 3 2 2 4" xfId="2125" xr:uid="{85E4DC6A-AEC9-4C06-B9E1-B31374151C69}"/>
    <cellStyle name="AggGreen 3 2 3" xfId="1325" xr:uid="{73544E2A-E8D5-44AB-A335-8B80A0EE045C}"/>
    <cellStyle name="AggGreen 3 2 4" xfId="1547" xr:uid="{EBBE47FC-ADAC-4A18-843E-35F887FF7CD1}"/>
    <cellStyle name="AggGreen 3 2 5" xfId="1919" xr:uid="{57D9077F-936B-4CDF-B975-6564146DC5F0}"/>
    <cellStyle name="AggGreen 3 3" xfId="743" xr:uid="{0580BE26-00C9-4EF8-9492-24AB531D495C}"/>
    <cellStyle name="AggGreen 3 3 2" xfId="1439" xr:uid="{DE97CF3A-D931-46B8-802E-488A7D6EB594}"/>
    <cellStyle name="AggGreen 3 3 3" xfId="1719" xr:uid="{7251034F-162E-40B0-8B11-F4290F3C1766}"/>
    <cellStyle name="AggGreen 3 3 4" xfId="2090" xr:uid="{A832017A-63AF-4289-98F9-18122B1F3CE9}"/>
    <cellStyle name="AggGreen 4" xfId="294" xr:uid="{D1B42CD1-8F9D-4CE6-81CB-6DFD95CCAC8F}"/>
    <cellStyle name="AggGreen 4 2" xfId="633" xr:uid="{8D2FB9DA-8E16-4791-99EA-EF965E8BF20E}"/>
    <cellStyle name="AggGreen 4 2 2" xfId="848" xr:uid="{2CCF3942-C073-4505-ABED-8158986B73F1}"/>
    <cellStyle name="AggGreen 4 2 2 2" xfId="1263" xr:uid="{63A7C850-6176-46BC-B6E0-B424070294E7}"/>
    <cellStyle name="AggGreen 4 2 2 3" xfId="1824" xr:uid="{5B879C71-3A96-4FE5-84DE-3DE5789E0271}"/>
    <cellStyle name="AggGreen 4 2 2 4" xfId="2195" xr:uid="{DA54C77F-1E2B-49BA-95B0-10EA4DF32639}"/>
    <cellStyle name="AggGreen 4 2 3" xfId="1335" xr:uid="{4D0F59C0-7637-43FC-9DD8-3695E073A47D}"/>
    <cellStyle name="AggGreen 4 2 4" xfId="1617" xr:uid="{8D5F60CB-F0CA-41E7-A5DA-F4038A8E8654}"/>
    <cellStyle name="AggGreen 4 2 5" xfId="1989" xr:uid="{B1D2D530-4597-47E4-8D74-48BC99B3994B}"/>
    <cellStyle name="AggGreen 4 3" xfId="548" xr:uid="{F7EE20FB-FE8C-4796-AB34-2E1BCBEFDBFE}"/>
    <cellStyle name="AggGreen 4 3 2" xfId="763" xr:uid="{F8AEDF46-D37A-416D-8C71-2A824409F159}"/>
    <cellStyle name="AggGreen 4 3 2 2" xfId="1382" xr:uid="{7BBFC809-43DE-4DBF-9C34-22E01ADFFE51}"/>
    <cellStyle name="AggGreen 4 3 2 3" xfId="1739" xr:uid="{CAFBAD66-263C-4255-9940-89E08AB6197D}"/>
    <cellStyle name="AggGreen 4 3 2 4" xfId="2110" xr:uid="{CA3A6AE5-5844-4800-AD41-4C115552BBA4}"/>
    <cellStyle name="AggGreen 4 3 3" xfId="1353" xr:uid="{F9D85863-D676-4B76-BEDE-CB20DC31878A}"/>
    <cellStyle name="AggGreen 4 3 4" xfId="1532" xr:uid="{AED15140-AA86-49B1-9075-ECB83108EAC7}"/>
    <cellStyle name="AggGreen 4 3 5" xfId="1904" xr:uid="{E9498D11-6581-4A79-B927-75EFB7594C38}"/>
    <cellStyle name="AggGreen 4 4" xfId="666" xr:uid="{95FDDB32-97C1-4C0B-9E76-192A66016394}"/>
    <cellStyle name="AggGreen 4 4 2" xfId="881" xr:uid="{9E9CA4AB-E026-4F9F-8A67-81B2A1E7C4A8}"/>
    <cellStyle name="AggGreen 4 4 2 2" xfId="1264" xr:uid="{D05F2D99-5AFA-41AC-8247-05C4FB4BD4BA}"/>
    <cellStyle name="AggGreen 4 4 2 3" xfId="1857" xr:uid="{5B612A11-51E5-4453-8AF8-1AA57E161C83}"/>
    <cellStyle name="AggGreen 4 4 2 4" xfId="2228" xr:uid="{43DB0448-E3FB-44D9-9660-A06A8E651DB8}"/>
    <cellStyle name="AggGreen 4 4 3" xfId="1088" xr:uid="{08AFA6BB-4BD1-47BC-8A8E-EAC30F08A434}"/>
    <cellStyle name="AggGreen 4 4 4" xfId="1650" xr:uid="{EFA80DF6-1CE0-4833-8947-8F372962330C}"/>
    <cellStyle name="AggGreen 4 4 5" xfId="2022" xr:uid="{131D04F0-7540-4832-A09B-D3A539AE1EB1}"/>
    <cellStyle name="AggGreen 4 5" xfId="1040" xr:uid="{7CAADC22-8A21-4BA6-9B4A-5513E0B1D937}"/>
    <cellStyle name="AggGreen 4 6" xfId="1480" xr:uid="{B0634E9A-7F26-4755-865B-D5DB0F948CAA}"/>
    <cellStyle name="AggGreen 4 7" xfId="1528" xr:uid="{CB0D2F2E-EC7E-44A6-B5DC-215C46F44120}"/>
    <cellStyle name="AggGreen 5" xfId="110" xr:uid="{D81ED735-F246-40E6-B346-9820CC2C4E57}"/>
    <cellStyle name="AggGreen_Bbdr" xfId="46" xr:uid="{C205EEFC-6B93-4E2B-A923-D6480C7527F3}"/>
    <cellStyle name="AggGreen12" xfId="43" xr:uid="{155C0F09-8BAA-4F8C-A3D6-F0021F94245D}"/>
    <cellStyle name="AggGreen12 2" xfId="149" xr:uid="{126D9A59-7ACE-47D2-940E-17FDBB39EE35}"/>
    <cellStyle name="AggGreen12 2 2" xfId="439" xr:uid="{E2773522-3ACD-458E-8994-D9E7AA77CD6E}"/>
    <cellStyle name="AggGreen12 2 2 2" xfId="632" xr:uid="{8944F871-C464-4137-BA86-2CB9A100B0B3}"/>
    <cellStyle name="AggGreen12 2 2 2 2" xfId="847" xr:uid="{51ADA974-8388-414B-8278-B1AA128D2D95}"/>
    <cellStyle name="AggGreen12 2 2 2 2 2" xfId="1068" xr:uid="{46C3539D-3182-4AC9-B7CE-3C6246282ED0}"/>
    <cellStyle name="AggGreen12 2 2 2 2 3" xfId="1823" xr:uid="{8D76C410-8912-4401-BF5C-E776B247CBF7}"/>
    <cellStyle name="AggGreen12 2 2 2 2 4" xfId="2194" xr:uid="{B417B64F-CC94-4C7F-BB7A-2033EFF97D38}"/>
    <cellStyle name="AggGreen12 2 2 2 3" xfId="1302" xr:uid="{689E0A07-BCBF-4AC3-9847-CCEC1B4E11D2}"/>
    <cellStyle name="AggGreen12 2 2 2 4" xfId="1616" xr:uid="{FA208A6A-2FB3-43A6-8D0F-D962EE52C4AC}"/>
    <cellStyle name="AggGreen12 2 2 2 5" xfId="1988" xr:uid="{44789AED-DE6A-4EA4-A9ED-4F0C76B4FD28}"/>
    <cellStyle name="AggGreen12 2 2 3" xfId="746" xr:uid="{3075755F-3615-4F61-9A94-C2439A1B6789}"/>
    <cellStyle name="AggGreen12 2 2 3 2" xfId="1087" xr:uid="{DCB8C609-9194-4F11-A27B-49C394DABD59}"/>
    <cellStyle name="AggGreen12 2 2 3 3" xfId="1722" xr:uid="{E954EB94-ABD5-4F07-B900-21D5869AD62F}"/>
    <cellStyle name="AggGreen12 2 2 3 4" xfId="2093" xr:uid="{BA65A48F-4BCD-454F-B0B4-704583FEB13C}"/>
    <cellStyle name="AggGreen12 2 3" xfId="297" xr:uid="{CA5007A0-4453-4139-80B8-A29B816B0FC9}"/>
    <cellStyle name="AggGreen12 2 3 2" xfId="636" xr:uid="{F7D15BB4-2DB1-452F-820F-ABC70AE61D5E}"/>
    <cellStyle name="AggGreen12 2 3 2 2" xfId="851" xr:uid="{977B76F3-E729-4AFB-B13F-C7DD1ADAF71B}"/>
    <cellStyle name="AggGreen12 2 3 2 2 2" xfId="1045" xr:uid="{5276AB88-0069-458A-9D8E-8705F47D6989}"/>
    <cellStyle name="AggGreen12 2 3 2 2 3" xfId="1827" xr:uid="{FEFAFA74-5BD6-4C16-AD64-8E738BD0BA35}"/>
    <cellStyle name="AggGreen12 2 3 2 2 4" xfId="2198" xr:uid="{097A770B-D2DE-4865-B37C-5E714BC380B8}"/>
    <cellStyle name="AggGreen12 2 3 2 3" xfId="1345" xr:uid="{63DBE412-0F2E-4420-A3C8-5E4ECE20AE79}"/>
    <cellStyle name="AggGreen12 2 3 2 4" xfId="1620" xr:uid="{479F5A86-D2A6-4B92-84EF-167A0050BC01}"/>
    <cellStyle name="AggGreen12 2 3 2 5" xfId="1992" xr:uid="{554AC5DE-4865-4844-83A2-A761CE8AFF83}"/>
    <cellStyle name="AggGreen12 2 3 3" xfId="585" xr:uid="{5627C56D-7F43-4E35-901B-493EB27E628F}"/>
    <cellStyle name="AggGreen12 2 3 3 2" xfId="800" xr:uid="{FDD0961F-B62E-4935-912C-1AB55C44CEC5}"/>
    <cellStyle name="AggGreen12 2 3 3 2 2" xfId="1251" xr:uid="{1BE2A7F5-E978-4AD5-B8E0-ADCCF933CF36}"/>
    <cellStyle name="AggGreen12 2 3 3 2 3" xfId="1776" xr:uid="{8CBF1465-0FDB-4F90-8DD4-26C048EB78B2}"/>
    <cellStyle name="AggGreen12 2 3 3 2 4" xfId="2147" xr:uid="{3387083D-43DE-4CA0-BB7F-115CDE698798}"/>
    <cellStyle name="AggGreen12 2 3 3 3" xfId="1030" xr:uid="{2794E91F-619A-4A14-AB2E-60708554CC43}"/>
    <cellStyle name="AggGreen12 2 3 3 4" xfId="1569" xr:uid="{0E3A2FCA-54CD-46AB-8016-4616ED1F9C32}"/>
    <cellStyle name="AggGreen12 2 3 3 5" xfId="1941" xr:uid="{607C5142-1B74-42E3-A91C-A2B9476EC725}"/>
    <cellStyle name="AggGreen12 2 3 4" xfId="665" xr:uid="{7724421F-10B8-4A03-B42F-86FD20B19441}"/>
    <cellStyle name="AggGreen12 2 3 4 2" xfId="880" xr:uid="{E0EFD496-A572-4F69-ABF9-4D2FDC467F17}"/>
    <cellStyle name="AggGreen12 2 3 4 2 2" xfId="1403" xr:uid="{59870BDE-C8B1-484A-BB59-BDBCA3D6436F}"/>
    <cellStyle name="AggGreen12 2 3 4 2 3" xfId="1856" xr:uid="{1BD43455-123E-4CA1-BF68-3675C2991A4B}"/>
    <cellStyle name="AggGreen12 2 3 4 2 4" xfId="2227" xr:uid="{ACD18955-1EDE-428F-A5D5-19FAE41131A3}"/>
    <cellStyle name="AggGreen12 2 3 4 3" xfId="1385" xr:uid="{945941CC-A34D-45BC-965B-496B7F9BBF18}"/>
    <cellStyle name="AggGreen12 2 3 4 4" xfId="1649" xr:uid="{28F3562E-A9A6-42E4-B326-88A6EC9E2B4A}"/>
    <cellStyle name="AggGreen12 2 3 4 5" xfId="2021" xr:uid="{B31A7BE7-8457-4D57-98C8-7E5D57AC2651}"/>
    <cellStyle name="AggGreen12 2 3 5" xfId="1311" xr:uid="{6A88F10F-8FA3-445F-84B6-59999D7035B9}"/>
    <cellStyle name="AggGreen12 2 3 6" xfId="1238" xr:uid="{83121CB9-40E8-498B-AD11-576785CC9B0A}"/>
    <cellStyle name="AggGreen12 2 3 7" xfId="1711" xr:uid="{8F290A18-DBD7-422F-88E8-D90735A7378C}"/>
    <cellStyle name="AggGreen12 3" xfId="438" xr:uid="{9EB4C05A-35CD-4370-8B92-5FC911DF6525}"/>
    <cellStyle name="AggGreen12 3 2" xfId="562" xr:uid="{0AE12670-57A6-4E66-A32A-D5B654BA38DA}"/>
    <cellStyle name="AggGreen12 3 2 2" xfId="777" xr:uid="{EF73739C-0F26-4FB1-8C76-2AEB50338152}"/>
    <cellStyle name="AggGreen12 3 2 2 2" xfId="1299" xr:uid="{661CA322-AF82-4370-B984-49D4EE88BDD0}"/>
    <cellStyle name="AggGreen12 3 2 2 3" xfId="1753" xr:uid="{5B2CCA6A-BD42-49AA-B71D-DE3727914752}"/>
    <cellStyle name="AggGreen12 3 2 2 4" xfId="2124" xr:uid="{AE552D04-549A-417B-AF78-96BC6A2BB94F}"/>
    <cellStyle name="AggGreen12 3 2 3" xfId="1484" xr:uid="{D0864309-D604-484C-A345-981E55DA4847}"/>
    <cellStyle name="AggGreen12 3 2 4" xfId="1546" xr:uid="{DA8425EB-7393-4F4E-9227-3B0F66622AA1}"/>
    <cellStyle name="AggGreen12 3 2 5" xfId="1918" xr:uid="{C4267EFE-BC04-42A8-B3E6-BF2420B1B6D8}"/>
    <cellStyle name="AggGreen12 3 3" xfId="745" xr:uid="{3D95877E-BD79-44DB-897A-CB2DEB3A43F2}"/>
    <cellStyle name="AggGreen12 3 3 2" xfId="1312" xr:uid="{56F57BF2-4B0A-4EC3-97D4-D3AEBFEAC634}"/>
    <cellStyle name="AggGreen12 3 3 3" xfId="1721" xr:uid="{E8A8FEAA-7C8E-4FA8-BDB7-BA3634075365}"/>
    <cellStyle name="AggGreen12 3 3 4" xfId="2092" xr:uid="{0C6DAA4A-6869-4F9A-BBD8-185F56A56962}"/>
    <cellStyle name="AggGreen12 4" xfId="296" xr:uid="{39EBB71E-5A9A-4A1E-86A8-B01218257DDB}"/>
    <cellStyle name="AggGreen12 4 2" xfId="635" xr:uid="{A113AEE4-DD3E-4826-B176-9FEC040A6431}"/>
    <cellStyle name="AggGreen12 4 2 2" xfId="850" xr:uid="{7A59778D-0F86-4FF8-893A-BC3173645430}"/>
    <cellStyle name="AggGreen12 4 2 2 2" xfId="1060" xr:uid="{9C849FAB-01A7-4062-85A4-7E75B65F31D5}"/>
    <cellStyle name="AggGreen12 4 2 2 3" xfId="1826" xr:uid="{55FC50A2-1ED2-4121-9CC4-C5CD61015061}"/>
    <cellStyle name="AggGreen12 4 2 2 4" xfId="2197" xr:uid="{34F8E36A-9FC0-4C97-9790-45208860D165}"/>
    <cellStyle name="AggGreen12 4 2 3" xfId="1417" xr:uid="{BE4777E9-D841-42D2-BF90-6468E5CB7BA0}"/>
    <cellStyle name="AggGreen12 4 2 4" xfId="1619" xr:uid="{35FEBAD8-896C-4731-94DE-DEDD31C8D20D}"/>
    <cellStyle name="AggGreen12 4 2 5" xfId="1991" xr:uid="{08744956-668C-49C4-9F10-14199F26F62A}"/>
    <cellStyle name="AggGreen12 4 3" xfId="687" xr:uid="{216C3024-F529-4283-BAF5-FD5629FC7FE8}"/>
    <cellStyle name="AggGreen12 4 3 2" xfId="902" xr:uid="{F77EB706-C797-4D2C-BDCF-27C4E8466194}"/>
    <cellStyle name="AggGreen12 4 3 2 2" xfId="1397" xr:uid="{2DD37E5F-A1D7-48EA-BC33-C2AB03ADAE2D}"/>
    <cellStyle name="AggGreen12 4 3 2 3" xfId="1878" xr:uid="{2FB53B3D-69FD-444E-9EE6-EC9A66BF759E}"/>
    <cellStyle name="AggGreen12 4 3 2 4" xfId="2249" xr:uid="{D1995E61-9136-48EF-AE98-E2DC272E7324}"/>
    <cellStyle name="AggGreen12 4 3 3" xfId="1193" xr:uid="{9EACF181-606C-40F7-9B0F-DEEF4177BD0B}"/>
    <cellStyle name="AggGreen12 4 3 4" xfId="1671" xr:uid="{E3ABF04E-AC45-4F35-BE6D-78044AD7A67A}"/>
    <cellStyle name="AggGreen12 4 3 5" xfId="2043" xr:uid="{6188196B-3C94-4C3C-8402-518BD6193BC4}"/>
    <cellStyle name="AggGreen12 4 4" xfId="698" xr:uid="{EDE79AC6-9FE3-4046-9E51-9A3766421FDB}"/>
    <cellStyle name="AggGreen12 4 4 2" xfId="913" xr:uid="{5699A08E-47B7-400B-A194-C3B451852AC3}"/>
    <cellStyle name="AggGreen12 4 4 2 2" xfId="1505" xr:uid="{DA94E4C1-5196-4A6B-B30E-7C73D0FF446D}"/>
    <cellStyle name="AggGreen12 4 4 2 3" xfId="1889" xr:uid="{2EAA1AD4-6336-47B7-8867-C54D93910614}"/>
    <cellStyle name="AggGreen12 4 4 2 4" xfId="2260" xr:uid="{71B4DAA8-9C5C-4F71-88E6-259993D3659F}"/>
    <cellStyle name="AggGreen12 4 4 3" xfId="1116" xr:uid="{7A921113-5F49-4CFF-B156-38C08FF7FFEE}"/>
    <cellStyle name="AggGreen12 4 4 4" xfId="1682" xr:uid="{3BCCF765-A365-4BE4-BACD-129B4E6FE4F9}"/>
    <cellStyle name="AggGreen12 4 4 5" xfId="2054" xr:uid="{6E28A342-317B-4185-ADDE-F15BF2BA206C}"/>
    <cellStyle name="AggGreen12 4 5" xfId="951" xr:uid="{E80FADE7-86E8-4FEE-8BB3-0ED8D8A9DD61}"/>
    <cellStyle name="AggGreen12 4 6" xfId="968" xr:uid="{556ADF92-B0A9-47B8-8018-6E49780B1301}"/>
    <cellStyle name="AggGreen12 4 7" xfId="1141" xr:uid="{D851084F-8665-4C87-80BA-9587D1272BD0}"/>
    <cellStyle name="AggGreen12 5" xfId="108" xr:uid="{5BB45D88-4CC5-460A-9B0E-03B2CCBE9569}"/>
    <cellStyle name="AggOrange" xfId="38" xr:uid="{4FCC05BB-B43D-4994-8795-E27CD7600401}"/>
    <cellStyle name="AggOrange 2" xfId="150" xr:uid="{E05277FF-0EB4-40E6-8C12-BBEEDCAF4D82}"/>
    <cellStyle name="AggOrange 2 2" xfId="441" xr:uid="{F155EA7D-0687-43C7-8E98-8D2F4156818A}"/>
    <cellStyle name="AggOrange 2 2 2" xfId="561" xr:uid="{527E5DC6-FB3A-4C0E-A47B-3CF878A5A6DE}"/>
    <cellStyle name="AggOrange 2 2 2 2" xfId="776" xr:uid="{7B96CB33-054B-493D-AAC1-168EC7B8C01D}"/>
    <cellStyle name="AggOrange 2 2 2 2 2" xfId="1072" xr:uid="{DB6B07F4-6E02-4028-B4A4-6825B392D715}"/>
    <cellStyle name="AggOrange 2 2 2 2 3" xfId="1752" xr:uid="{EA77BC1E-2778-4595-94CB-35290D1A82B3}"/>
    <cellStyle name="AggOrange 2 2 2 2 4" xfId="2123" xr:uid="{AF85E7E1-D218-4604-82F8-04E5BE451304}"/>
    <cellStyle name="AggOrange 2 2 2 3" xfId="1131" xr:uid="{4B5CB4FF-408C-47CE-98FC-92B97D16C2C6}"/>
    <cellStyle name="AggOrange 2 2 2 4" xfId="1545" xr:uid="{3F53207B-CE31-4C91-BF19-571E9CCD6399}"/>
    <cellStyle name="AggOrange 2 2 2 5" xfId="1917" xr:uid="{BDD23D61-30CB-4642-A2AD-5F8B49267717}"/>
    <cellStyle name="AggOrange 2 2 3" xfId="748" xr:uid="{5FBDBE9F-9BF3-4436-A492-120E4D4CB639}"/>
    <cellStyle name="AggOrange 2 2 3 2" xfId="1243" xr:uid="{182F8744-FE53-4201-9ADD-8C7F4E4512DA}"/>
    <cellStyle name="AggOrange 2 2 3 3" xfId="1724" xr:uid="{2B3C3A93-35E0-42F1-AABF-5823DE19172B}"/>
    <cellStyle name="AggOrange 2 2 3 4" xfId="2095" xr:uid="{96C6243B-E9F3-462F-B86F-46243E12ECD2}"/>
    <cellStyle name="AggOrange 2 3" xfId="299" xr:uid="{56C4110D-8E8F-48BE-B20F-9C092080D90C}"/>
    <cellStyle name="AggOrange 2 3 2" xfId="638" xr:uid="{B1F9B587-C656-4EFE-8531-5D20EB721B8F}"/>
    <cellStyle name="AggOrange 2 3 2 2" xfId="853" xr:uid="{9236379D-4F94-4E68-AA10-6F6A69B144EB}"/>
    <cellStyle name="AggOrange 2 3 2 2 2" xfId="1104" xr:uid="{7B402EF2-EB2B-46A9-B749-B5F0F4D727EC}"/>
    <cellStyle name="AggOrange 2 3 2 2 3" xfId="1829" xr:uid="{BDF7BCF9-F7E2-4B05-B64C-83124028A3A1}"/>
    <cellStyle name="AggOrange 2 3 2 2 4" xfId="2200" xr:uid="{67A2F98F-3630-4280-9234-9693F3B8173C}"/>
    <cellStyle name="AggOrange 2 3 2 3" xfId="1035" xr:uid="{A7B9F4F0-D7DA-41A2-A852-AA541B06770D}"/>
    <cellStyle name="AggOrange 2 3 2 4" xfId="1622" xr:uid="{9641775E-28AF-4BD4-9D97-9B6BC77810DD}"/>
    <cellStyle name="AggOrange 2 3 2 5" xfId="1994" xr:uid="{3AEBB90F-6877-4A3C-935D-4CE4BD3720D8}"/>
    <cellStyle name="AggOrange 2 3 3" xfId="545" xr:uid="{9106CC7E-9B3F-4153-995A-B24E742AB4AC}"/>
    <cellStyle name="AggOrange 2 3 3 2" xfId="760" xr:uid="{467EBD60-8628-4C9B-AD88-67FE1CA1EB0E}"/>
    <cellStyle name="AggOrange 2 3 3 2 2" xfId="1399" xr:uid="{7C81ED11-E63C-4EEA-8F20-5AA6C9DF3496}"/>
    <cellStyle name="AggOrange 2 3 3 2 3" xfId="1736" xr:uid="{95389624-1D7B-4CAF-BE2F-73A7A7AEB44A}"/>
    <cellStyle name="AggOrange 2 3 3 2 4" xfId="2107" xr:uid="{D1914573-70FD-4826-B08D-7C541CC62F88}"/>
    <cellStyle name="AggOrange 2 3 3 3" xfId="1126" xr:uid="{9D003C1C-F62C-4736-A9BD-5D160641F65D}"/>
    <cellStyle name="AggOrange 2 3 3 4" xfId="1529" xr:uid="{951F25C8-BBB6-4EAB-9E86-F9FC6B2BAD1A}"/>
    <cellStyle name="AggOrange 2 3 3 5" xfId="1901" xr:uid="{1DD2891D-6A5A-4946-A477-3244D750083C}"/>
    <cellStyle name="AggOrange 2 3 4" xfId="560" xr:uid="{4A24122B-20B9-49FA-ACB7-9AC701070A58}"/>
    <cellStyle name="AggOrange 2 3 4 2" xfId="775" xr:uid="{4485AB6D-507C-443A-A4D4-41411E76F28E}"/>
    <cellStyle name="AggOrange 2 3 4 2 2" xfId="1270" xr:uid="{E6FD6A0E-E011-4030-8581-E98DD4D19B48}"/>
    <cellStyle name="AggOrange 2 3 4 2 3" xfId="1751" xr:uid="{493A8F11-EBF8-4FF7-AE54-2D84D4B0F39E}"/>
    <cellStyle name="AggOrange 2 3 4 2 4" xfId="2122" xr:uid="{916A54BD-BCE8-4D83-9F2C-1A031B83F2CD}"/>
    <cellStyle name="AggOrange 2 3 4 3" xfId="1493" xr:uid="{12084443-05DF-4AF3-89CA-4A08D8911EFD}"/>
    <cellStyle name="AggOrange 2 3 4 4" xfId="1544" xr:uid="{A46BFF8B-C1E7-41D1-BEB8-8A5A37B4CF22}"/>
    <cellStyle name="AggOrange 2 3 4 5" xfId="1916" xr:uid="{ED1645BF-5E97-4738-80EE-6EA4391A48EC}"/>
    <cellStyle name="AggOrange 2 3 5" xfId="1108" xr:uid="{26C64B65-76B3-4900-8E56-794B91BCD9A6}"/>
    <cellStyle name="AggOrange 2 3 6" xfId="1446" xr:uid="{C96AD43B-D21A-4FB0-8DA4-3982DFD2B47A}"/>
    <cellStyle name="AggOrange 2 3 7" xfId="1381" xr:uid="{C4B9266F-A186-4148-85AE-6094648D43DA}"/>
    <cellStyle name="AggOrange 3" xfId="440" xr:uid="{FE7A566E-9744-420B-8BE9-625B830DA360}"/>
    <cellStyle name="AggOrange 3 2" xfId="680" xr:uid="{C6D7A7C2-4B7D-4946-8DD1-67B6395277EB}"/>
    <cellStyle name="AggOrange 3 2 2" xfId="895" xr:uid="{BDC57467-9D9F-49D9-993E-6B7ADFF174D6}"/>
    <cellStyle name="AggOrange 3 2 2 2" xfId="1247" xr:uid="{E288DF2C-CCF1-462F-B5F6-C4707F38E3CE}"/>
    <cellStyle name="AggOrange 3 2 2 3" xfId="1871" xr:uid="{85042139-009C-4199-B726-6CB50E63B1D7}"/>
    <cellStyle name="AggOrange 3 2 2 4" xfId="2242" xr:uid="{F0676322-33BD-4D56-AB7B-C004E607E19D}"/>
    <cellStyle name="AggOrange 3 2 3" xfId="1284" xr:uid="{79F13C6D-D280-4F9B-BB5E-F79253913563}"/>
    <cellStyle name="AggOrange 3 2 4" xfId="1664" xr:uid="{9E337426-43D4-44C8-BC88-5D377C4D709E}"/>
    <cellStyle name="AggOrange 3 2 5" xfId="2036" xr:uid="{2B946CB6-6FD8-41C4-9515-77C4BD68E3BE}"/>
    <cellStyle name="AggOrange 3 3" xfId="747" xr:uid="{5DD8E925-3811-4804-BE7D-AD53CEB07977}"/>
    <cellStyle name="AggOrange 3 3 2" xfId="1033" xr:uid="{CB329C0D-423B-4F9E-A278-1F8438D76884}"/>
    <cellStyle name="AggOrange 3 3 3" xfId="1723" xr:uid="{0AB92725-A1E1-45EC-A75D-892EBDFAB541}"/>
    <cellStyle name="AggOrange 3 3 4" xfId="2094" xr:uid="{3FAF46AC-E408-411A-8C04-1B0052A2601C}"/>
    <cellStyle name="AggOrange 4" xfId="298" xr:uid="{9264F6DF-AD34-4310-A150-45554B5DA23A}"/>
    <cellStyle name="AggOrange 4 2" xfId="637" xr:uid="{92B40C69-80C7-489B-8C9E-06013E0B971D}"/>
    <cellStyle name="AggOrange 4 2 2" xfId="852" xr:uid="{75DCF04E-35AC-4D47-84F8-C00FF2241CB6}"/>
    <cellStyle name="AggOrange 4 2 2 2" xfId="1224" xr:uid="{C669EDC4-33EE-4D6C-80DF-C49CFF611E1B}"/>
    <cellStyle name="AggOrange 4 2 2 3" xfId="1828" xr:uid="{04C587D4-0C8E-452C-A962-743BF7D7542E}"/>
    <cellStyle name="AggOrange 4 2 2 4" xfId="2199" xr:uid="{4A4F727E-BE37-4E22-B0CE-34FAA736D064}"/>
    <cellStyle name="AggOrange 4 2 3" xfId="1204" xr:uid="{90D8E413-2C11-4B32-B016-EC022B2DD4D0}"/>
    <cellStyle name="AggOrange 4 2 4" xfId="1621" xr:uid="{284A764B-070A-4C42-A2AE-5009F0F15140}"/>
    <cellStyle name="AggOrange 4 2 5" xfId="1993" xr:uid="{F6D625B6-630B-41D9-94C9-A5A73ABC98F4}"/>
    <cellStyle name="AggOrange 4 3" xfId="626" xr:uid="{AAC437F7-5B0B-4558-81CF-9E3350B5A46F}"/>
    <cellStyle name="AggOrange 4 3 2" xfId="841" xr:uid="{110A30CE-4BA5-4D86-AEF0-6B8C32B0DB6F}"/>
    <cellStyle name="AggOrange 4 3 2 2" xfId="938" xr:uid="{C8461EF0-2DCD-4CAB-973D-CAF253CA3F6B}"/>
    <cellStyle name="AggOrange 4 3 2 3" xfId="1817" xr:uid="{01E094BF-B202-423F-B268-F28339056C5C}"/>
    <cellStyle name="AggOrange 4 3 2 4" xfId="2188" xr:uid="{D3EFF419-AC26-49AD-8A39-AABCCF3B2AE1}"/>
    <cellStyle name="AggOrange 4 3 3" xfId="964" xr:uid="{C0F86F71-D081-45D2-A5E7-A93C34F37C67}"/>
    <cellStyle name="AggOrange 4 3 4" xfId="1610" xr:uid="{487FFC5D-E00F-4075-88B9-1060C6BBC7B4}"/>
    <cellStyle name="AggOrange 4 3 5" xfId="1982" xr:uid="{26AF91FD-EB44-4F8A-8828-7EE2B9A47A12}"/>
    <cellStyle name="AggOrange 4 4" xfId="600" xr:uid="{FEB22B86-AB5E-4379-A8F7-56097F63F9B8}"/>
    <cellStyle name="AggOrange 4 4 2" xfId="815" xr:uid="{03D84A98-ACEC-46C7-B054-C6CBE9ACCB8B}"/>
    <cellStyle name="AggOrange 4 4 2 2" xfId="1182" xr:uid="{0095AAAE-C341-475D-A4F1-74266ED26ADD}"/>
    <cellStyle name="AggOrange 4 4 2 3" xfId="1791" xr:uid="{A06DA237-3C18-435F-9CD4-BCFEC2977322}"/>
    <cellStyle name="AggOrange 4 4 2 4" xfId="2162" xr:uid="{07170336-A8E4-47E0-A297-D0395133626D}"/>
    <cellStyle name="AggOrange 4 4 3" xfId="185" xr:uid="{0DD6AB2D-E01F-48F1-9E30-EC001146F24E}"/>
    <cellStyle name="AggOrange 4 4 4" xfId="1584" xr:uid="{B9EF05C2-2056-44FA-9F17-83F614BD9923}"/>
    <cellStyle name="AggOrange 4 4 5" xfId="1956" xr:uid="{854226D7-B7A4-4031-BCC6-F209F2CE736E}"/>
    <cellStyle name="AggOrange 4 5" xfId="1136" xr:uid="{E9839948-1494-4EB5-8E53-2D55D8B6F41A}"/>
    <cellStyle name="AggOrange 4 6" xfId="1387" xr:uid="{5EE7A5F6-3736-4BEC-81E3-7879AF1C99C0}"/>
    <cellStyle name="AggOrange 4 7" xfId="1527" xr:uid="{3072050D-97BD-4011-B47E-BB62CA4DBA8D}"/>
    <cellStyle name="AggOrange 5" xfId="104" xr:uid="{DBD75404-71EF-465B-9040-56B710F66A58}"/>
    <cellStyle name="AggOrange_B_border" xfId="50" xr:uid="{E15320BA-4720-45A2-BB64-A1F5BD6FF701}"/>
    <cellStyle name="AggOrange9" xfId="37" xr:uid="{2374663A-C202-4087-B51D-B49F66B1F722}"/>
    <cellStyle name="AggOrange9 2" xfId="151" xr:uid="{603FB98E-FA34-4F8E-BA0E-510D17B4DE7B}"/>
    <cellStyle name="AggOrange9 2 2" xfId="443" xr:uid="{60241ACB-4596-4B8B-89C6-B4FA5AF1012D}"/>
    <cellStyle name="AggOrange9 2 2 2" xfId="679" xr:uid="{E9B6B743-CE5D-4E3E-B6F0-19C079FF0F8F}"/>
    <cellStyle name="AggOrange9 2 2 2 2" xfId="894" xr:uid="{5969AF5A-4B3D-4CB4-A55D-517855B3503A}"/>
    <cellStyle name="AggOrange9 2 2 2 2 2" xfId="1191" xr:uid="{4A0CC885-1D70-42CB-877F-3DE5D006A82D}"/>
    <cellStyle name="AggOrange9 2 2 2 2 3" xfId="1870" xr:uid="{2157F8B3-D4C3-4631-BA8D-110F68F149AD}"/>
    <cellStyle name="AggOrange9 2 2 2 2 4" xfId="2241" xr:uid="{936262AB-135C-42D8-AD8E-DD7CC33440C6}"/>
    <cellStyle name="AggOrange9 2 2 2 3" xfId="1338" xr:uid="{4B89A4F9-0B0F-4BD0-A406-FC83C7C42660}"/>
    <cellStyle name="AggOrange9 2 2 2 4" xfId="1663" xr:uid="{7D525A2C-A6C0-4A88-B03B-FDC39E9468F5}"/>
    <cellStyle name="AggOrange9 2 2 2 5" xfId="2035" xr:uid="{E3B4CE7A-2A83-4341-A526-2D1C83DDC8A8}"/>
    <cellStyle name="AggOrange9 2 2 3" xfId="750" xr:uid="{01E93C3F-FDFC-4FCE-9E57-CAE203880A08}"/>
    <cellStyle name="AggOrange9 2 2 3 2" xfId="1028" xr:uid="{109074AE-1232-4D50-8BE0-E555FAD3D162}"/>
    <cellStyle name="AggOrange9 2 2 3 3" xfId="1726" xr:uid="{3C193121-4391-47A8-83EC-C428EBDD4358}"/>
    <cellStyle name="AggOrange9 2 2 3 4" xfId="2097" xr:uid="{7D0B25C2-671E-4FF3-8089-34C97FF48F3A}"/>
    <cellStyle name="AggOrange9 2 3" xfId="301" xr:uid="{563D7D62-A7AC-47E7-BC3D-9F1CB504EF60}"/>
    <cellStyle name="AggOrange9 2 3 2" xfId="640" xr:uid="{467835B9-BD0B-48BD-A9EF-BEF76ADE3E47}"/>
    <cellStyle name="AggOrange9 2 3 2 2" xfId="855" xr:uid="{0025C5B5-A0EC-4F1B-BC09-76AEC9512EAD}"/>
    <cellStyle name="AggOrange9 2 3 2 2 2" xfId="1189" xr:uid="{849854F3-B35C-4101-B366-3E1F93BC2621}"/>
    <cellStyle name="AggOrange9 2 3 2 2 3" xfId="1831" xr:uid="{49B6BBFA-3BA4-4F27-B4BC-AA0DB512ADBB}"/>
    <cellStyle name="AggOrange9 2 3 2 2 4" xfId="2202" xr:uid="{B43E7B99-74CC-4FBB-950B-A9F8FF28864D}"/>
    <cellStyle name="AggOrange9 2 3 2 3" xfId="1099" xr:uid="{C94294A6-38F8-4D5F-A8E6-2208CC0A9869}"/>
    <cellStyle name="AggOrange9 2 3 2 4" xfId="1624" xr:uid="{B24073D8-1EFB-4A10-B814-CF4CF9104BC5}"/>
    <cellStyle name="AggOrange9 2 3 2 5" xfId="1996" xr:uid="{9231A20B-B20D-4C25-9DCB-9DA5D95EC407}"/>
    <cellStyle name="AggOrange9 2 3 3" xfId="686" xr:uid="{ABB99BBB-CD87-4F00-8B4B-32B2DC99BB16}"/>
    <cellStyle name="AggOrange9 2 3 3 2" xfId="901" xr:uid="{15DE3FAC-1607-4CFF-ADD9-DEA400767010}"/>
    <cellStyle name="AggOrange9 2 3 3 2 2" xfId="1272" xr:uid="{A6C05170-85F6-426B-A0BE-F381EC3900B6}"/>
    <cellStyle name="AggOrange9 2 3 3 2 3" xfId="1877" xr:uid="{9DDD5208-A0AF-4C33-8446-2233EB15AA26}"/>
    <cellStyle name="AggOrange9 2 3 3 2 4" xfId="2248" xr:uid="{0D8C8343-DD53-440E-B7C6-1C25E7F5FAFA}"/>
    <cellStyle name="AggOrange9 2 3 3 3" xfId="1401" xr:uid="{B1D5FADB-67D9-4DDE-A280-28EB98E15A63}"/>
    <cellStyle name="AggOrange9 2 3 3 4" xfId="1670" xr:uid="{4E7109FD-C0B5-4AF4-8845-2744AEFEE63C}"/>
    <cellStyle name="AggOrange9 2 3 3 5" xfId="2042" xr:uid="{31D7EA71-EA96-4A37-9253-54E53F67BBBD}"/>
    <cellStyle name="AggOrange9 2 3 4" xfId="700" xr:uid="{0DBB9906-A575-4B28-A1C1-35CBEB571334}"/>
    <cellStyle name="AggOrange9 2 3 4 2" xfId="915" xr:uid="{1848B1DB-95E7-42FF-856D-4ECB4A84653E}"/>
    <cellStyle name="AggOrange9 2 3 4 2 2" xfId="1507" xr:uid="{5C1D0E76-48B2-4132-B712-CABB2CBB35A8}"/>
    <cellStyle name="AggOrange9 2 3 4 2 3" xfId="1891" xr:uid="{D8E09A96-EC5A-48AF-B4D5-4BB7980818FC}"/>
    <cellStyle name="AggOrange9 2 3 4 2 4" xfId="2262" xr:uid="{02B54FF5-BEBD-4F66-B8E6-03C7C0F1C67C}"/>
    <cellStyle name="AggOrange9 2 3 4 3" xfId="1409" xr:uid="{04B655A9-E471-4CFA-98E3-84589104C5FF}"/>
    <cellStyle name="AggOrange9 2 3 4 4" xfId="1684" xr:uid="{A412819B-7475-44B9-A116-04AB6999D01F}"/>
    <cellStyle name="AggOrange9 2 3 4 5" xfId="2056" xr:uid="{A267985A-5CA4-44EA-858D-98DE20413BE8}"/>
    <cellStyle name="AggOrange9 2 3 5" xfId="1332" xr:uid="{4BBCD02A-5E16-4657-95B1-45D50ED05700}"/>
    <cellStyle name="AggOrange9 2 3 6" xfId="1462" xr:uid="{4BABEC0C-49AC-4FDF-B3E6-EDF8706BAF5A}"/>
    <cellStyle name="AggOrange9 2 3 7" xfId="969" xr:uid="{F00177BF-83C0-40A5-9EFD-F07C32DBFDFC}"/>
    <cellStyle name="AggOrange9 3" xfId="442" xr:uid="{59FAFDA1-BA3B-4A4E-85FC-8F76DA59E543}"/>
    <cellStyle name="AggOrange9 3 2" xfId="631" xr:uid="{014FA9AC-9480-4697-BE7D-33CA4AF40B67}"/>
    <cellStyle name="AggOrange9 3 2 2" xfId="846" xr:uid="{8E4618DE-F0FB-4C79-AE9B-9878815B54F6}"/>
    <cellStyle name="AggOrange9 3 2 2 2" xfId="1172" xr:uid="{D32A28E1-15C4-45C9-BF66-1A5E3D7B8509}"/>
    <cellStyle name="AggOrange9 3 2 2 3" xfId="1822" xr:uid="{F91D5401-A393-496C-8D75-80458C11420E}"/>
    <cellStyle name="AggOrange9 3 2 2 4" xfId="2193" xr:uid="{3A15434C-8F99-4FF6-94AF-FCFB8A5BBD43}"/>
    <cellStyle name="AggOrange9 3 2 3" xfId="1372" xr:uid="{F58B819D-2A5B-491C-8F47-39B06D2C32C9}"/>
    <cellStyle name="AggOrange9 3 2 4" xfId="1615" xr:uid="{82C6ADAB-5036-4D21-9B16-EC378044DDB5}"/>
    <cellStyle name="AggOrange9 3 2 5" xfId="1987" xr:uid="{F6902B7A-E059-4AE2-B642-792886BE1754}"/>
    <cellStyle name="AggOrange9 3 3" xfId="749" xr:uid="{242B4DA3-8A53-4C97-89A1-C2D1291926BF}"/>
    <cellStyle name="AggOrange9 3 3 2" xfId="1346" xr:uid="{90FF341E-D26B-441B-A190-36914527CCB0}"/>
    <cellStyle name="AggOrange9 3 3 3" xfId="1725" xr:uid="{72048D57-4E68-4D9E-BA1E-1BE81C609C90}"/>
    <cellStyle name="AggOrange9 3 3 4" xfId="2096" xr:uid="{BF80DBDC-A386-4EFD-BED5-09DA372A7826}"/>
    <cellStyle name="AggOrange9 4" xfId="300" xr:uid="{BBC456BB-93CE-4D31-AF49-A0CC1FDB5229}"/>
    <cellStyle name="AggOrange9 4 2" xfId="639" xr:uid="{0CFBA1CF-4401-494C-84D8-42491BE4BB90}"/>
    <cellStyle name="AggOrange9 4 2 2" xfId="854" xr:uid="{FE99EC86-818C-4924-964D-E222907C81B1}"/>
    <cellStyle name="AggOrange9 4 2 2 2" xfId="1246" xr:uid="{C1AB77E2-A00D-4902-AEE8-6D3D4406E1A2}"/>
    <cellStyle name="AggOrange9 4 2 2 3" xfId="1830" xr:uid="{48E05E4D-9C9B-4F5A-A54B-8EFBA60B8153}"/>
    <cellStyle name="AggOrange9 4 2 2 4" xfId="2201" xr:uid="{D103D04B-A995-43C0-BE36-8C18672D02A5}"/>
    <cellStyle name="AggOrange9 4 2 3" xfId="1094" xr:uid="{2C93DEB7-3168-48E7-9273-A0C889941C36}"/>
    <cellStyle name="AggOrange9 4 2 4" xfId="1623" xr:uid="{8255F7B4-115E-45D5-AA5D-EF7D062449F7}"/>
    <cellStyle name="AggOrange9 4 2 5" xfId="1995" xr:uid="{D10C8203-5305-4CA9-BE86-F2C37F8DA1B6}"/>
    <cellStyle name="AggOrange9 4 3" xfId="584" xr:uid="{E9795F8C-EA5B-471B-B8C8-1D7D69D7AA3B}"/>
    <cellStyle name="AggOrange9 4 3 2" xfId="799" xr:uid="{DCBDC8E3-CA44-4699-BB7E-1C6F99C6AFBC}"/>
    <cellStyle name="AggOrange9 4 3 2 2" xfId="1228" xr:uid="{3B5D33E9-4B45-43B1-8D7A-A7A1829A686D}"/>
    <cellStyle name="AggOrange9 4 3 2 3" xfId="1775" xr:uid="{BE9BA349-04A6-4377-90E0-3474BD070201}"/>
    <cellStyle name="AggOrange9 4 3 2 4" xfId="2146" xr:uid="{E481100E-01B3-4CBF-A7EF-FEA63E65A049}"/>
    <cellStyle name="AggOrange9 4 3 3" xfId="1418" xr:uid="{C51A9AB8-CE0B-4B74-AE37-6FB536C677E2}"/>
    <cellStyle name="AggOrange9 4 3 4" xfId="1568" xr:uid="{3817DE51-0866-4BF3-9833-EDB135C8CEF7}"/>
    <cellStyle name="AggOrange9 4 3 5" xfId="1940" xr:uid="{A22B6F7F-E232-43E8-8BAA-B3E2BF0587E4}"/>
    <cellStyle name="AggOrange9 4 4" xfId="630" xr:uid="{A51ADE7E-C75E-4003-80F9-44DE51CFA146}"/>
    <cellStyle name="AggOrange9 4 4 2" xfId="845" xr:uid="{37FDD23F-04EF-4194-AF2C-8369AF16FC04}"/>
    <cellStyle name="AggOrange9 4 4 2 2" xfId="960" xr:uid="{04C2071E-9851-45FE-BCB5-BE8C36373E87}"/>
    <cellStyle name="AggOrange9 4 4 2 3" xfId="1821" xr:uid="{E0D46DA4-508D-4EC8-B081-3CFE904EECBB}"/>
    <cellStyle name="AggOrange9 4 4 2 4" xfId="2192" xr:uid="{0993FC8F-3186-410F-902D-26E00676253C}"/>
    <cellStyle name="AggOrange9 4 4 3" xfId="77" xr:uid="{9FAFF499-D3AA-46ED-A1B2-9290D61FB6FA}"/>
    <cellStyle name="AggOrange9 4 4 4" xfId="1614" xr:uid="{13ABAF1C-902F-4A18-B37E-165E9B7E41D2}"/>
    <cellStyle name="AggOrange9 4 4 5" xfId="1986" xr:uid="{690B1EB6-BE91-432A-90BA-27074CAB091D}"/>
    <cellStyle name="AggOrange9 4 5" xfId="1447" xr:uid="{FC03BE67-869D-4261-B162-01314F1DF8DF}"/>
    <cellStyle name="AggOrange9 4 6" xfId="1478" xr:uid="{77D44748-37A5-44D5-9789-F6A31D77BCBF}"/>
    <cellStyle name="AggOrange9 4 7" xfId="1407" xr:uid="{10009146-CB3B-4079-8BA6-FFD8A11960EF}"/>
    <cellStyle name="AggOrange9 5" xfId="103" xr:uid="{AA02E4E7-76B9-4DD2-ACCA-E85B4405EFF4}"/>
    <cellStyle name="AggOrangeLB_2x" xfId="49" xr:uid="{7DF595DE-2150-4462-8AA8-30296E6EE412}"/>
    <cellStyle name="AggOrangeLBorder" xfId="51" xr:uid="{0B299D36-E61B-46F1-BC62-BD7A01AAF738}"/>
    <cellStyle name="AggOrangeLBorder 2" xfId="152" xr:uid="{D3A619F3-4D08-422A-90E3-76E5C41931A0}"/>
    <cellStyle name="AggOrangeLBorder 2 2" xfId="445" xr:uid="{5CF99B45-30CD-4422-87E7-5CCDAD23452C}"/>
    <cellStyle name="AggOrangeLBorder 2 3" xfId="303" xr:uid="{FBC5DF84-A6A3-4FA3-87D5-5A5A08D70B1D}"/>
    <cellStyle name="AggOrangeLBorder 2 3 2" xfId="642" xr:uid="{17BAC487-B103-485C-A341-9937F3456434}"/>
    <cellStyle name="AggOrangeLBorder 2 3 2 2" xfId="857" xr:uid="{B37F8B91-09DB-4A6C-867E-DA7674FEF9C8}"/>
    <cellStyle name="AggOrangeLBorder 2 3 2 2 2" xfId="1046" xr:uid="{387F6311-BA27-44BE-BCCC-F4071F8AA864}"/>
    <cellStyle name="AggOrangeLBorder 2 3 2 2 3" xfId="1833" xr:uid="{620EDF80-E2D7-43F3-8EB0-CAC215100F7A}"/>
    <cellStyle name="AggOrangeLBorder 2 3 2 2 4" xfId="2204" xr:uid="{28D455A7-B049-4B60-841C-22B69A47EDB5}"/>
    <cellStyle name="AggOrangeLBorder 2 3 2 3" xfId="1445" xr:uid="{27E7C667-A1B7-4D56-AD42-EF1FE000D142}"/>
    <cellStyle name="AggOrangeLBorder 2 3 2 4" xfId="1626" xr:uid="{414E4828-A914-4106-9018-55E60CB5A09F}"/>
    <cellStyle name="AggOrangeLBorder 2 3 2 5" xfId="1998" xr:uid="{6999D2C5-FE9B-4699-AE5C-1A368F6EAA77}"/>
    <cellStyle name="AggOrangeLBorder 2 3 3" xfId="582" xr:uid="{BBBB8A5A-3DED-4474-BEA4-0D2FA8A57D1E}"/>
    <cellStyle name="AggOrangeLBorder 2 3 3 2" xfId="797" xr:uid="{1FFF6007-B16C-4613-84ED-6607DA846077}"/>
    <cellStyle name="AggOrangeLBorder 2 3 3 2 2" xfId="1051" xr:uid="{1D85F458-5B71-448A-A79F-480D9D514A97}"/>
    <cellStyle name="AggOrangeLBorder 2 3 3 2 3" xfId="1773" xr:uid="{43596D4F-0C0E-4B62-8FE5-8538FBDDC73D}"/>
    <cellStyle name="AggOrangeLBorder 2 3 3 2 4" xfId="2144" xr:uid="{CE94E9E5-585F-4CF3-A373-B8C2BE2A949E}"/>
    <cellStyle name="AggOrangeLBorder 2 3 3 3" xfId="1434" xr:uid="{D38DE1D0-1E3A-4634-A059-4D3E511B4CF2}"/>
    <cellStyle name="AggOrangeLBorder 2 3 3 4" xfId="1566" xr:uid="{7A78A5E3-D57C-4266-B051-E54681582089}"/>
    <cellStyle name="AggOrangeLBorder 2 3 3 5" xfId="1938" xr:uid="{2FB0F01B-EF81-42BA-8D31-205B1F47A67B}"/>
    <cellStyle name="AggOrangeLBorder 2 3 4" xfId="608" xr:uid="{614EEE34-B8FD-4C71-AB04-01CC72DAC6DD}"/>
    <cellStyle name="AggOrangeLBorder 2 3 4 2" xfId="823" xr:uid="{9F926E52-5217-4701-A004-F043923E6CA9}"/>
    <cellStyle name="AggOrangeLBorder 2 3 4 2 2" xfId="1188" xr:uid="{794C96A0-5AED-40BE-B716-2EB1A948CA4F}"/>
    <cellStyle name="AggOrangeLBorder 2 3 4 2 3" xfId="1799" xr:uid="{B560D935-DBB2-4C12-B3BF-62086947B4BB}"/>
    <cellStyle name="AggOrangeLBorder 2 3 4 2 4" xfId="2170" xr:uid="{916B7039-4646-4DDE-AA00-D62BA084D5CE}"/>
    <cellStyle name="AggOrangeLBorder 2 3 4 3" xfId="1343" xr:uid="{538869AA-E0A0-4EEE-AFAA-B74F9C32F550}"/>
    <cellStyle name="AggOrangeLBorder 2 3 4 4" xfId="1592" xr:uid="{DC2487C4-5681-4F55-B8B0-0510E26CB1D8}"/>
    <cellStyle name="AggOrangeLBorder 2 3 4 5" xfId="1964" xr:uid="{9289AC3C-6C45-4869-B20E-6A1F8BC1682B}"/>
    <cellStyle name="AggOrangeLBorder 2 3 5" xfId="728" xr:uid="{71743BE1-5380-4E30-AEA3-47194F508BD7}"/>
    <cellStyle name="AggOrangeLBorder 2 3 6" xfId="1057" xr:uid="{1A5ABE1C-03FF-43F9-A1F6-542A54C6CFA9}"/>
    <cellStyle name="AggOrangeLBorder 2 3 7" xfId="1433" xr:uid="{C8394893-DC52-4C39-BFB1-153C5D6A2523}"/>
    <cellStyle name="AggOrangeLBorder 2 3 8" xfId="1327" xr:uid="{709B4347-AEDB-41B5-90A1-A8A374E42BDE}"/>
    <cellStyle name="AggOrangeLBorder 3" xfId="444" xr:uid="{7C7824A4-CF92-42D0-B8EB-FFCD83649D37}"/>
    <cellStyle name="AggOrangeLBorder 4" xfId="302" xr:uid="{C99BC778-0547-4FEE-8396-69D6A8FF5766}"/>
    <cellStyle name="AggOrangeLBorder 4 2" xfId="641" xr:uid="{65AEDE57-EECB-4D0B-806F-106DF44B82D4}"/>
    <cellStyle name="AggOrangeLBorder 4 2 2" xfId="856" xr:uid="{48011B5A-5560-4D05-8342-49E8B7FAA43F}"/>
    <cellStyle name="AggOrangeLBorder 4 2 2 2" xfId="1245" xr:uid="{4E1D4A18-FA8D-417C-8E0E-AB336B51E921}"/>
    <cellStyle name="AggOrangeLBorder 4 2 2 3" xfId="1832" xr:uid="{F778558F-DA80-457B-ABA0-6AA77FFC7A9C}"/>
    <cellStyle name="AggOrangeLBorder 4 2 2 4" xfId="2203" xr:uid="{425D2635-02D6-417F-8EC9-32C5B6A0ADF6}"/>
    <cellStyle name="AggOrangeLBorder 4 2 3" xfId="1122" xr:uid="{74D03373-0B51-46C7-B046-D37C36BDC7B7}"/>
    <cellStyle name="AggOrangeLBorder 4 2 4" xfId="1625" xr:uid="{E58F304F-BCD1-47FC-A779-451B80F36AE7}"/>
    <cellStyle name="AggOrangeLBorder 4 2 5" xfId="1997" xr:uid="{DF28257C-021E-4460-AAEB-A673BD744D09}"/>
    <cellStyle name="AggOrangeLBorder 4 3" xfId="583" xr:uid="{24CFFEA2-458E-40EC-A2F1-5957880ABCDB}"/>
    <cellStyle name="AggOrangeLBorder 4 3 2" xfId="798" xr:uid="{B425CEA1-A7EC-42B7-98AF-C2ECAFA0960F}"/>
    <cellStyle name="AggOrangeLBorder 4 3 2 2" xfId="1257" xr:uid="{D12E3F38-54DA-418A-96A9-149DBD8F0B55}"/>
    <cellStyle name="AggOrangeLBorder 4 3 2 3" xfId="1774" xr:uid="{A32D9F6F-8CD9-41D1-9973-C867E3E1F127}"/>
    <cellStyle name="AggOrangeLBorder 4 3 2 4" xfId="2145" xr:uid="{AB9B578D-5865-4019-8EA9-43C261059536}"/>
    <cellStyle name="AggOrangeLBorder 4 3 3" xfId="1252" xr:uid="{519DBBF7-ACBA-475B-9A2B-5F67CE67940A}"/>
    <cellStyle name="AggOrangeLBorder 4 3 4" xfId="1567" xr:uid="{A9CD8269-8609-41EE-ABB6-9B9C27EF29E1}"/>
    <cellStyle name="AggOrangeLBorder 4 3 5" xfId="1939" xr:uid="{600F951F-2600-4183-82E8-EDC1C5317B09}"/>
    <cellStyle name="AggOrangeLBorder 4 4" xfId="604" xr:uid="{68A9B76C-1D9D-42D4-A959-F10B43C6E345}"/>
    <cellStyle name="AggOrangeLBorder 4 4 2" xfId="819" xr:uid="{94882BC2-DF1B-4409-8F50-20CFD9351362}"/>
    <cellStyle name="AggOrangeLBorder 4 4 2 2" xfId="1044" xr:uid="{32FAB5D6-06FA-45DD-9DF2-E18738CC1C9B}"/>
    <cellStyle name="AggOrangeLBorder 4 4 2 3" xfId="1795" xr:uid="{04ED4E56-5886-4E12-818A-B61F9D4CDD94}"/>
    <cellStyle name="AggOrangeLBorder 4 4 2 4" xfId="2166" xr:uid="{B248335E-3123-4C25-9128-F260329AA880}"/>
    <cellStyle name="AggOrangeLBorder 4 4 3" xfId="1307" xr:uid="{018AA749-29B6-4CB6-8DCC-E2822E3A4E5F}"/>
    <cellStyle name="AggOrangeLBorder 4 4 4" xfId="1588" xr:uid="{9766F59D-F934-41F1-965F-38BC60EDAF5B}"/>
    <cellStyle name="AggOrangeLBorder 4 4 5" xfId="1960" xr:uid="{DCC8C764-3922-4793-8A5F-977A73EC8988}"/>
    <cellStyle name="AggOrangeLBorder 4 5" xfId="727" xr:uid="{0D05B241-FDE9-466E-AA37-7418E63935E7}"/>
    <cellStyle name="AggOrangeLBorder 4 6" xfId="1053" xr:uid="{9563C30B-2E42-4AF1-9BD1-EBEB156BE6AA}"/>
    <cellStyle name="AggOrangeLBorder 4 7" xfId="1395" xr:uid="{64A659FA-0EE4-4CCA-B1AC-D72A5472A4E7}"/>
    <cellStyle name="AggOrangeLBorder 4 8" xfId="1323" xr:uid="{8B5FDD08-2363-4BDB-9F9F-E100EE3FF1B9}"/>
    <cellStyle name="AggOrangeLBorder 5" xfId="111" xr:uid="{13BDAFC3-4F71-4DE2-9F17-EAE6EE9CC5A8}"/>
    <cellStyle name="AggOrangeRBorder" xfId="40" xr:uid="{63D346A9-4E02-402F-9BF3-6A8AC8AC34BC}"/>
    <cellStyle name="AggOrangeRBorder 2" xfId="153" xr:uid="{1B138899-A85A-49F3-8756-35C8609C9AEA}"/>
    <cellStyle name="AggOrangeRBorder 2 2" xfId="447" xr:uid="{4CDD8BB2-57C7-4550-BE5F-797C5DC41DFB}"/>
    <cellStyle name="AggOrangeRBorder 2 2 2" xfId="559" xr:uid="{3628B899-1A22-40BE-B8E7-600CF02B65E3}"/>
    <cellStyle name="AggOrangeRBorder 2 2 2 2" xfId="774" xr:uid="{3408FFFC-BAF8-45A0-874E-A56219A1932F}"/>
    <cellStyle name="AggOrangeRBorder 2 2 2 2 2" xfId="976" xr:uid="{A47D56FF-3FCE-4C07-A9D7-41B4B392CA40}"/>
    <cellStyle name="AggOrangeRBorder 2 2 2 2 3" xfId="1750" xr:uid="{668FB006-C0D8-4650-8FC8-BED6C65F8754}"/>
    <cellStyle name="AggOrangeRBorder 2 2 2 2 4" xfId="2121" xr:uid="{7FD3B091-2151-41C0-B11A-FDEF872EAA09}"/>
    <cellStyle name="AggOrangeRBorder 2 2 2 3" xfId="25" xr:uid="{CE274A1F-F118-4994-831B-2566ADB7771A}"/>
    <cellStyle name="AggOrangeRBorder 2 2 2 4" xfId="1543" xr:uid="{112AA9C3-6747-4750-A630-F5282A9B9762}"/>
    <cellStyle name="AggOrangeRBorder 2 2 2 5" xfId="1915" xr:uid="{F3A44F59-556C-4D52-A4EB-E6CD2C870491}"/>
    <cellStyle name="AggOrangeRBorder 2 3" xfId="305" xr:uid="{95F99C34-9048-4C2D-BBDA-DD36BA674732}"/>
    <cellStyle name="AggOrangeRBorder 2 3 2" xfId="644" xr:uid="{D80A4713-F899-4D8D-AADB-18CB24853444}"/>
    <cellStyle name="AggOrangeRBorder 2 3 2 2" xfId="859" xr:uid="{C28B2187-ED0B-4AA0-9AF5-78931465CA75}"/>
    <cellStyle name="AggOrangeRBorder 2 3 2 2 2" xfId="1105" xr:uid="{7DB83E96-91CA-4282-AB3A-E5F6D0DD2B05}"/>
    <cellStyle name="AggOrangeRBorder 2 3 2 2 3" xfId="1835" xr:uid="{1216B9DC-B640-4F3A-B507-6AD5763201B0}"/>
    <cellStyle name="AggOrangeRBorder 2 3 2 2 4" xfId="2206" xr:uid="{5C082C29-35B0-4140-819D-ED08523B70DE}"/>
    <cellStyle name="AggOrangeRBorder 2 3 2 3" xfId="1142" xr:uid="{E240A342-3651-40F7-B7A9-41FEE82955CC}"/>
    <cellStyle name="AggOrangeRBorder 2 3 2 4" xfId="1628" xr:uid="{8798C136-4E7B-4AE1-AE74-0D0F7665D19E}"/>
    <cellStyle name="AggOrangeRBorder 2 3 2 5" xfId="2000" xr:uid="{A4A06C16-BDB1-49C3-AC18-348D981961A7}"/>
    <cellStyle name="AggOrangeRBorder 2 3 3" xfId="620" xr:uid="{E3CB2E91-316B-485B-8BB8-AA07FBB8E4DB}"/>
    <cellStyle name="AggOrangeRBorder 2 3 3 2" xfId="835" xr:uid="{B976D016-71DF-4618-AD63-D728C36AB4FB}"/>
    <cellStyle name="AggOrangeRBorder 2 3 3 2 2" xfId="952" xr:uid="{DD87A34B-361B-43C5-83A4-FDB5F3E75187}"/>
    <cellStyle name="AggOrangeRBorder 2 3 3 2 3" xfId="1811" xr:uid="{5BDF4952-BF69-4F20-82CC-34450104DFBD}"/>
    <cellStyle name="AggOrangeRBorder 2 3 3 2 4" xfId="2182" xr:uid="{0BE0F414-E71E-4C1C-A478-3299572D7046}"/>
    <cellStyle name="AggOrangeRBorder 2 3 3 3" xfId="1465" xr:uid="{6451C513-54F7-4BA3-AC29-18EB8D1427B7}"/>
    <cellStyle name="AggOrangeRBorder 2 3 3 4" xfId="1604" xr:uid="{0F43F230-6F25-443A-BE98-35906CB6660F}"/>
    <cellStyle name="AggOrangeRBorder 2 3 3 5" xfId="1976" xr:uid="{2768BDBF-4C0C-459C-A820-B1D773213538}"/>
    <cellStyle name="AggOrangeRBorder 2 3 4" xfId="602" xr:uid="{5AB0C29F-883C-4A96-AA71-274987B698E4}"/>
    <cellStyle name="AggOrangeRBorder 2 3 4 2" xfId="817" xr:uid="{BE02C523-86AD-4266-8BB8-03D32F6A22FC}"/>
    <cellStyle name="AggOrangeRBorder 2 3 4 2 2" xfId="1043" xr:uid="{D1765B91-DB3E-4B80-B854-B79E12D4CDDA}"/>
    <cellStyle name="AggOrangeRBorder 2 3 4 2 3" xfId="1793" xr:uid="{F34DC0FA-24D0-4022-90A8-1AC0FA20FCCE}"/>
    <cellStyle name="AggOrangeRBorder 2 3 4 2 4" xfId="2164" xr:uid="{72D644BE-1A9D-4792-A699-5112EA6939F3}"/>
    <cellStyle name="AggOrangeRBorder 2 3 4 3" xfId="68" xr:uid="{14DD4C0F-D616-4731-9A2C-64FAB5191ED9}"/>
    <cellStyle name="AggOrangeRBorder 2 3 4 4" xfId="1586" xr:uid="{54172B8C-F873-4A0F-B34F-FBC783A6BA27}"/>
    <cellStyle name="AggOrangeRBorder 2 3 4 5" xfId="1958" xr:uid="{9DB41D68-EF71-4E38-9CA0-D74A87AF668A}"/>
    <cellStyle name="AggOrangeRBorder 2 3 5" xfId="730" xr:uid="{10E3D8CA-1DFF-48F3-8665-C32D93DAF8A7}"/>
    <cellStyle name="AggOrangeRBorder 2 3 6" xfId="1359" xr:uid="{24B3EA90-EEF8-4B2E-93DD-4A6F92CA7087}"/>
    <cellStyle name="AggOrangeRBorder 2 3 7" xfId="1444" xr:uid="{E5D41D7E-762E-4049-A976-01F60B2BCB62}"/>
    <cellStyle name="AggOrangeRBorder 2 3 8" xfId="1349" xr:uid="{208EF0EB-CD91-446A-9434-EC7C8D4667D2}"/>
    <cellStyle name="AggOrangeRBorder 3" xfId="446" xr:uid="{E790E5AF-9CAF-4D43-9E92-878552D2DF58}"/>
    <cellStyle name="AggOrangeRBorder 3 2" xfId="67" xr:uid="{02F8FA01-02A8-4A6B-BEEA-3B318CEDE00E}"/>
    <cellStyle name="AggOrangeRBorder 3 2 2" xfId="678" xr:uid="{5C453EE3-6C0D-437E-B1FA-4A56066B3904}"/>
    <cellStyle name="AggOrangeRBorder 3 2 2 2" xfId="1216" xr:uid="{B6689C03-551A-477E-83EE-79B17FDC492E}"/>
    <cellStyle name="AggOrangeRBorder 3 2 2 3" xfId="1662" xr:uid="{F63850A7-35A3-439D-ABD7-B9CC75A93246}"/>
    <cellStyle name="AggOrangeRBorder 3 2 2 4" xfId="2034" xr:uid="{EFF12E45-6B5E-4E0A-90B0-280DC43D36C9}"/>
    <cellStyle name="AggOrangeRBorder 3 2 3" xfId="893" xr:uid="{B0A69EC5-791E-4733-B69B-A2B71CED4121}"/>
    <cellStyle name="AggOrangeRBorder 3 2 3 2" xfId="1248" xr:uid="{77F07C5C-4917-4F5B-9A10-0CF43A83AA38}"/>
    <cellStyle name="AggOrangeRBorder 3 2 3 3" xfId="1869" xr:uid="{6E834D56-BCDD-4F57-B34A-D511C95C7A34}"/>
    <cellStyle name="AggOrangeRBorder 3 2 3 4" xfId="2240" xr:uid="{2A9C04B2-E314-46DC-8296-B1ABE7B15B7F}"/>
    <cellStyle name="AggOrangeRBorder 4" xfId="304" xr:uid="{9E549395-770B-4E26-87A8-43C3F9505824}"/>
    <cellStyle name="AggOrangeRBorder 4 2" xfId="643" xr:uid="{13323998-CBC9-4450-BB38-2047DDEDD6AA}"/>
    <cellStyle name="AggOrangeRBorder 4 2 2" xfId="858" xr:uid="{246CF923-F042-47FF-92EB-6DA40B928326}"/>
    <cellStyle name="AggOrangeRBorder 4 2 2 2" xfId="1144" xr:uid="{7D155E8C-1629-4F1E-A890-4BDE02305A33}"/>
    <cellStyle name="AggOrangeRBorder 4 2 2 3" xfId="1834" xr:uid="{19C563C9-4BFC-4898-9B97-DE00B542671B}"/>
    <cellStyle name="AggOrangeRBorder 4 2 2 4" xfId="2205" xr:uid="{FFBF4125-E8CD-49A8-9E2B-D5DF89CD2C49}"/>
    <cellStyle name="AggOrangeRBorder 4 2 3" xfId="1163" xr:uid="{61287958-A4F2-4A55-A39C-67EA08B2BE6D}"/>
    <cellStyle name="AggOrangeRBorder 4 2 4" xfId="1627" xr:uid="{82711BBB-B640-46F1-A8A1-B3913B97FC44}"/>
    <cellStyle name="AggOrangeRBorder 4 2 5" xfId="1999" xr:uid="{A6ED82D4-2994-40CB-8FD9-AE7736A33E75}"/>
    <cellStyle name="AggOrangeRBorder 4 3" xfId="676" xr:uid="{53C44457-D445-4162-9171-8F2283707512}"/>
    <cellStyle name="AggOrangeRBorder 4 3 2" xfId="891" xr:uid="{12819406-CF09-423D-8FD1-9EB65F6B4E40}"/>
    <cellStyle name="AggOrangeRBorder 4 3 2 2" xfId="1167" xr:uid="{27BCCF4A-5D65-4A57-8293-18E450368AD6}"/>
    <cellStyle name="AggOrangeRBorder 4 3 2 3" xfId="1867" xr:uid="{51F66F34-72CF-4BA5-A308-08B8F1C84FCB}"/>
    <cellStyle name="AggOrangeRBorder 4 3 2 4" xfId="2238" xr:uid="{C4797AB3-1774-4163-8D9E-79D69D86EF22}"/>
    <cellStyle name="AggOrangeRBorder 4 3 3" xfId="1406" xr:uid="{71D47D5F-9AFA-4841-B5B2-E082B437EA4B}"/>
    <cellStyle name="AggOrangeRBorder 4 3 4" xfId="1660" xr:uid="{1C395FD0-F79F-417A-B14C-93BE4EA27AD1}"/>
    <cellStyle name="AggOrangeRBorder 4 3 5" xfId="2032" xr:uid="{77366F2C-EC54-4D4C-9A2B-A7065F8CAE30}"/>
    <cellStyle name="AggOrangeRBorder 4 4" xfId="697" xr:uid="{E7892EF9-C37F-4900-B1CE-AFD5FC73D148}"/>
    <cellStyle name="AggOrangeRBorder 4 4 2" xfId="912" xr:uid="{BEBED77F-2F3D-40E8-ACCD-2775D25D32C9}"/>
    <cellStyle name="AggOrangeRBorder 4 4 2 2" xfId="1504" xr:uid="{87E39291-BB16-4E23-BF91-47B960D1C983}"/>
    <cellStyle name="AggOrangeRBorder 4 4 2 3" xfId="1888" xr:uid="{C73FD211-B0AF-4055-8137-B547CA6D09BD}"/>
    <cellStyle name="AggOrangeRBorder 4 4 2 4" xfId="2259" xr:uid="{AE9C48E2-DDD4-4B80-A349-A2BF6ECF75E7}"/>
    <cellStyle name="AggOrangeRBorder 4 4 3" xfId="1322" xr:uid="{F0D91338-1DE6-4C73-BCD6-BC1D9488D1A5}"/>
    <cellStyle name="AggOrangeRBorder 4 4 4" xfId="1681" xr:uid="{EFDC2706-719E-4325-861C-B6D25BABE08F}"/>
    <cellStyle name="AggOrangeRBorder 4 4 5" xfId="2053" xr:uid="{EF761D6B-C639-4E35-8D91-4C7DC9BA360D}"/>
    <cellStyle name="AggOrangeRBorder 4 5" xfId="729" xr:uid="{10564D88-C237-4D11-A45F-35008D7AA40B}"/>
    <cellStyle name="AggOrangeRBorder 4 6" xfId="1059" xr:uid="{2240BD0D-E5D6-40AE-99BB-B745198DD545}"/>
    <cellStyle name="AggOrangeRBorder 4 7" xfId="1459" xr:uid="{20C9A811-D7AE-43E4-8904-6292AEA61810}"/>
    <cellStyle name="AggOrangeRBorder 4 8" xfId="1107" xr:uid="{9BCB3DBF-E65C-4D3F-9E0A-A80284F70274}"/>
    <cellStyle name="AggOrangeRBorder 5" xfId="106" xr:uid="{3A64D572-B7DE-46C9-9232-7BC16EFC20A7}"/>
    <cellStyle name="AggOrangeRBorder_CRFReport-template" xfId="52" xr:uid="{AF3B4345-9940-4535-9C1A-F8BB6044089F}"/>
    <cellStyle name="Akzent1" xfId="154" xr:uid="{616AD696-FEF0-4ACF-A6B9-CBD2C9E1C62A}"/>
    <cellStyle name="Akzent2" xfId="155" xr:uid="{A21EE391-CD49-4312-83A9-3AE4D8C5A8C2}"/>
    <cellStyle name="Akzent3" xfId="156" xr:uid="{54E72227-DE9A-4F21-A274-D2DD0F51371F}"/>
    <cellStyle name="Akzent4" xfId="157" xr:uid="{70E7941A-500C-4B45-A3AA-B7FC887A16F4}"/>
    <cellStyle name="Akzent5" xfId="158" xr:uid="{56ADE016-F0AE-41FE-AA5E-4316A8D974AA}"/>
    <cellStyle name="Akzent6" xfId="159" xr:uid="{A70D9B75-72B0-4802-9FCF-3B768E653253}"/>
    <cellStyle name="Ausgabe" xfId="972" hidden="1" xr:uid="{92B52382-6FC2-4167-80A2-743DEFF1D0A7}"/>
    <cellStyle name="Ausgabe" xfId="1071" hidden="1" xr:uid="{CD28E24B-7398-4C1F-9391-EA2F99E74EAF}"/>
    <cellStyle name="Ausgabe" xfId="73" hidden="1" xr:uid="{30259C79-F188-47E7-A0D0-8385A9701675}"/>
    <cellStyle name="Ausgabe" xfId="1039" hidden="1" xr:uid="{268C5E6A-D590-41B7-838C-FA611C182701}"/>
    <cellStyle name="Ausgabe" xfId="1428" hidden="1" xr:uid="{BAF4C05F-3CED-41C0-9148-4CD1E4206C45}"/>
    <cellStyle name="Ausgabe" xfId="1266" hidden="1" xr:uid="{FFA66EEA-A009-4D14-9102-CD976AA3AC6C}"/>
    <cellStyle name="Ausgabe 2" xfId="425" xr:uid="{31579FC9-0E84-441E-893C-BC3C720F573E}"/>
    <cellStyle name="Ausgabe 2 2" xfId="681" xr:uid="{5DA2FDEC-FCF6-441D-965F-764CE211E0D6}"/>
    <cellStyle name="Ausgabe 2 2 2" xfId="896" xr:uid="{902159B5-2AD4-4E1D-9F0D-40598C153F96}"/>
    <cellStyle name="Ausgabe 2 2 2 2" xfId="91" xr:uid="{F4C2A75A-7EDD-4088-A9F6-40FDD177818B}"/>
    <cellStyle name="Ausgabe 2 2 2 3" xfId="1872" xr:uid="{85843FA2-142C-40DF-BBF0-4F15412F8ED3}"/>
    <cellStyle name="Ausgabe 2 2 2 4" xfId="2243" xr:uid="{23463190-C679-4E94-AD79-38CDFC508EBD}"/>
    <cellStyle name="Ausgabe 2 2 3" xfId="931" xr:uid="{834058B0-2DFA-407D-A708-0E8C4CC828C8}"/>
    <cellStyle name="Ausgabe 2 2 4" xfId="1665" xr:uid="{9F2E2C60-D2D9-4C9C-B33C-7531548504ED}"/>
    <cellStyle name="Ausgabe 2 2 5" xfId="2037" xr:uid="{2173F18D-1089-4262-ABA9-C8A6B6E673B6}"/>
    <cellStyle name="Ausgabe 2 3" xfId="566" xr:uid="{BF183D50-9852-4322-B959-120B4B324999}"/>
    <cellStyle name="Ausgabe 2 3 2" xfId="781" xr:uid="{C7346E64-6BEA-43BA-B3BE-34D0CFC622DB}"/>
    <cellStyle name="Ausgabe 2 3 2 2" xfId="1064" xr:uid="{03295056-DE26-4880-90A2-4EF5F7A71384}"/>
    <cellStyle name="Ausgabe 2 3 2 3" xfId="1757" xr:uid="{FEE0FEA3-A881-4585-9827-2F826079C0BA}"/>
    <cellStyle name="Ausgabe 2 3 2 4" xfId="2128" xr:uid="{93BFFEB7-9A00-4B23-96A8-15C5C196BE0A}"/>
    <cellStyle name="Ausgabe 2 3 3" xfId="1324" xr:uid="{BCCFC634-0E7C-48DB-A38B-D5C515611C9D}"/>
    <cellStyle name="Ausgabe 2 3 4" xfId="1550" xr:uid="{65D7BE79-203D-45CF-B526-139621A9B8D3}"/>
    <cellStyle name="Ausgabe 2 3 5" xfId="1922" xr:uid="{45CF233E-6CBE-403F-B6FB-AE1E65AC101E}"/>
    <cellStyle name="Ausgabe 2 4" xfId="739" xr:uid="{FDD44879-12A0-4971-8F5D-7298D6C7D442}"/>
    <cellStyle name="Ausgabe 2 4 2" xfId="1076" xr:uid="{85EEA28C-8AA8-4492-90F4-CCE68E616EE2}"/>
    <cellStyle name="Ausgabe 2 4 3" xfId="1715" xr:uid="{37D7237F-FBEF-459E-96F1-545C2A01CB70}"/>
    <cellStyle name="Ausgabe 2 4 4" xfId="2086" xr:uid="{080F1172-9CF2-4508-A907-8B578F47E5B7}"/>
    <cellStyle name="Ausgabe 2 5" xfId="1226" xr:uid="{DC784E8B-D9A5-4AF7-B879-AF740D9C5249}"/>
    <cellStyle name="Ausgabe 2 6" xfId="1077" xr:uid="{C2FC0A93-B4F1-4AF5-8BA5-178DB4923F42}"/>
    <cellStyle name="Ausgabe 3" xfId="316" xr:uid="{5ADA572A-9308-431B-8342-9ACA1D317889}"/>
    <cellStyle name="Ausgabe 3 2" xfId="653" xr:uid="{B8538F55-9074-446C-981B-36544CB31A50}"/>
    <cellStyle name="Ausgabe 3 2 2" xfId="868" xr:uid="{BF358638-C51E-408F-B5C3-2730C5A373F4}"/>
    <cellStyle name="Ausgabe 3 2 2 2" xfId="1318" xr:uid="{C04BDF65-822F-42C2-99A1-51F129EB49C9}"/>
    <cellStyle name="Ausgabe 3 2 2 3" xfId="1844" xr:uid="{4E7CE8C0-72CC-441A-BD7C-7B5C95948336}"/>
    <cellStyle name="Ausgabe 3 2 2 4" xfId="2215" xr:uid="{826FEC52-0BA4-49FB-AA11-095458383F7C}"/>
    <cellStyle name="Ausgabe 3 2 3" xfId="1383" xr:uid="{F3303548-6EC3-4139-BF10-AC6CE4C2767E}"/>
    <cellStyle name="Ausgabe 3 2 4" xfId="1637" xr:uid="{7D213612-2E14-4B8F-A381-9A4518088944}"/>
    <cellStyle name="Ausgabe 3 2 5" xfId="2009" xr:uid="{9334110C-4C08-4E38-86A0-B374D6D94575}"/>
    <cellStyle name="Ausgabe 3 3" xfId="572" xr:uid="{45892CCF-4592-4951-8550-998D406D172A}"/>
    <cellStyle name="Ausgabe 3 3 2" xfId="787" xr:uid="{D718DBD8-03A7-488C-AF40-01DFF7875F76}"/>
    <cellStyle name="Ausgabe 3 3 2 2" xfId="1186" xr:uid="{D54AFA87-3AE4-45C3-9642-7C966AAABA7D}"/>
    <cellStyle name="Ausgabe 3 3 2 3" xfId="1763" xr:uid="{66D024F2-048C-4ED2-B623-EAA5F0341DB9}"/>
    <cellStyle name="Ausgabe 3 3 2 4" xfId="2134" xr:uid="{D7A12A00-D758-423B-8FAA-9B7AE807BFF3}"/>
    <cellStyle name="Ausgabe 3 3 3" xfId="1378" xr:uid="{D8080C5A-F3E7-4C8A-8FAE-E65F144E9551}"/>
    <cellStyle name="Ausgabe 3 3 4" xfId="1556" xr:uid="{8C582571-E9AA-4E10-B503-B1C3D9EC3EB5}"/>
    <cellStyle name="Ausgabe 3 3 5" xfId="1928" xr:uid="{AA947DCD-0C3D-45C6-81A7-A421C59D42AB}"/>
    <cellStyle name="Ausgabe 3 4" xfId="736" xr:uid="{A376FF85-CC92-4DAF-99D3-1F556016400C}"/>
    <cellStyle name="Ausgabe 3 4 2" xfId="1298" xr:uid="{68BF8257-E451-4A20-A134-1C2F37C6788D}"/>
    <cellStyle name="Ausgabe 3 4 3" xfId="1713" xr:uid="{748D5697-2C85-498C-9861-BB9B984DFB4A}"/>
    <cellStyle name="Ausgabe 3 4 4" xfId="2084" xr:uid="{48D0450F-3CE7-418A-99CB-B62E67900DAA}"/>
    <cellStyle name="Ausgabe 3 5" xfId="1109" xr:uid="{4B53C6A2-7A59-4FE8-A092-48024F1770AA}"/>
    <cellStyle name="Ausgabe 3 6" xfId="1363" xr:uid="{570FB193-9C1C-4811-A30F-EBC48CC04564}"/>
    <cellStyle name="Ausgabe 4" xfId="577" xr:uid="{066A0A5C-63EF-499C-8DF7-F551E78BD959}"/>
    <cellStyle name="Ausgabe 4 2" xfId="792" xr:uid="{ADF553B8-48F5-48C5-A87D-5368B8F8D253}"/>
    <cellStyle name="Ausgabe 4 2 2" xfId="1255" xr:uid="{8073ED7F-C311-4AEC-9A28-6F0EDBFB94B1}"/>
    <cellStyle name="Ausgabe 4 2 3" xfId="1768" xr:uid="{FEDD104A-CA4F-4F1B-BF47-96A1A367DFE7}"/>
    <cellStyle name="Ausgabe 4 2 4" xfId="2139" xr:uid="{0696CC8D-D17F-4904-8A68-CF33310DDD9A}"/>
    <cellStyle name="Ausgabe 4 3" xfId="1308" xr:uid="{BF61DAE6-ECAD-4E9B-8DB3-AB10512816F6}"/>
    <cellStyle name="Ausgabe 4 4" xfId="1561" xr:uid="{D0E15D55-DF33-48D3-B7A5-E614D85D2DF0}"/>
    <cellStyle name="Ausgabe 4 5" xfId="1933" xr:uid="{4EB1C426-1ED7-4274-9EC5-9FE802E0151A}"/>
    <cellStyle name="Ausgabe 5" xfId="696" xr:uid="{7057CDE7-72CB-4DB1-ACD3-AE561A44483F}"/>
    <cellStyle name="Ausgabe 5 2" xfId="911" xr:uid="{80D082B4-E98C-4977-9A3E-FC1FB952D3F4}"/>
    <cellStyle name="Ausgabe 5 2 2" xfId="1503" xr:uid="{3179D948-E3DA-4E43-8D63-EF1383316E36}"/>
    <cellStyle name="Ausgabe 5 2 3" xfId="1887" xr:uid="{A5E10AAE-BE12-4602-836C-790220C214D0}"/>
    <cellStyle name="Ausgabe 5 2 4" xfId="2258" xr:uid="{7343E365-1002-4CB2-87F3-AFB013E61079}"/>
    <cellStyle name="Ausgabe 5 3" xfId="1241" xr:uid="{85A821F7-A6DE-4AB6-BBC9-4DE730425C74}"/>
    <cellStyle name="Ausgabe 5 4" xfId="1680" xr:uid="{AD49F04C-C767-4A0C-94CC-39A0DC072EB9}"/>
    <cellStyle name="Ausgabe 5 5" xfId="2052" xr:uid="{D25AD2CA-AF99-430A-A43C-BFA549675C6E}"/>
    <cellStyle name="Ausgabe 6" xfId="712" xr:uid="{A7DD8696-D91C-4CF2-8D31-37783CC88EFE}"/>
    <cellStyle name="Ausgabe 6 2" xfId="1410" xr:uid="{3A9CAF25-4421-4174-AE69-75EB27402E90}"/>
    <cellStyle name="Ausgabe 6 3" xfId="1695" xr:uid="{2D85F8E1-0701-4968-98A7-38762D721F7B}"/>
    <cellStyle name="Ausgabe 6 4" xfId="2067" xr:uid="{135A308F-5715-493C-9902-CC4546309723}"/>
    <cellStyle name="Bad 2" xfId="160" xr:uid="{70EC9623-573B-4142-B810-253ED88C7CF6}"/>
    <cellStyle name="Bad 3" xfId="257" xr:uid="{37F113E3-858A-45C7-897B-EDFA7AF4A401}"/>
    <cellStyle name="Bad 4" xfId="397" xr:uid="{A6087649-AE9F-4C65-96F3-36EA9B336801}"/>
    <cellStyle name="Berechnung" xfId="973" hidden="1" xr:uid="{605139B5-E503-4EA4-8B42-FF627D11ACBB}"/>
    <cellStyle name="Berechnung" xfId="929" hidden="1" xr:uid="{7C1D1784-3073-444E-B320-05E3BBEB296D}"/>
    <cellStyle name="Berechnung" xfId="74" hidden="1" xr:uid="{DDD7AF8B-A653-4295-AB40-CBDDB3A24F0F}"/>
    <cellStyle name="Berechnung" xfId="1358" hidden="1" xr:uid="{B51B81C9-32AC-4CD5-A546-1732D79AA683}"/>
    <cellStyle name="Berechnung" xfId="1286" hidden="1" xr:uid="{2DCEA1D4-AAC9-4CED-A154-E0DC2BA4144E}"/>
    <cellStyle name="Berechnung" xfId="1113" hidden="1" xr:uid="{071265E2-7976-4F21-948F-9F58092116C2}"/>
    <cellStyle name="Berechnung 2" xfId="426" xr:uid="{466E2501-F730-4189-BF15-0D04D8C55738}"/>
    <cellStyle name="Berechnung 2 2" xfId="682" xr:uid="{67B78F50-2C21-4D01-BA06-66546800F4FC}"/>
    <cellStyle name="Berechnung 2 2 2" xfId="897" xr:uid="{5B4B1C62-A18D-4FA2-B248-9F1E7E266F0B}"/>
    <cellStyle name="Berechnung 2 2 2 2" xfId="1166" xr:uid="{B3B4BD30-FCA9-4DCE-A44C-059AE4CD8717}"/>
    <cellStyle name="Berechnung 2 2 2 3" xfId="1873" xr:uid="{A34604FE-C490-4D99-967D-1A10AACC6572}"/>
    <cellStyle name="Berechnung 2 2 2 4" xfId="2244" xr:uid="{501E7423-9960-4A2E-A1CB-6AD89E502654}"/>
    <cellStyle name="Berechnung 2 2 3" xfId="1275" xr:uid="{F8501051-01FB-459E-956E-5017309B5E70}"/>
    <cellStyle name="Berechnung 2 2 4" xfId="1666" xr:uid="{43431591-6B23-4F66-941C-7357DBC9F946}"/>
    <cellStyle name="Berechnung 2 2 5" xfId="2038" xr:uid="{89BFF1F5-B692-4129-8F89-B14762A8BFA0}"/>
    <cellStyle name="Berechnung 2 3" xfId="547" xr:uid="{04A87F44-9A9E-4555-802B-5F924AF65DE9}"/>
    <cellStyle name="Berechnung 2 3 2" xfId="762" xr:uid="{80BED556-A96A-4C86-91DC-F073D0FC6AF1}"/>
    <cellStyle name="Berechnung 2 3 2 2" xfId="1352" xr:uid="{59FD50EC-FFAC-4F95-BECD-7DF90172525A}"/>
    <cellStyle name="Berechnung 2 3 2 3" xfId="1738" xr:uid="{7CEC4182-E02A-4024-A5DD-4DAB7DD9D65D}"/>
    <cellStyle name="Berechnung 2 3 2 4" xfId="2109" xr:uid="{25B3166F-39D4-40EE-AFE1-F6543447E3B1}"/>
    <cellStyle name="Berechnung 2 3 3" xfId="1019" xr:uid="{2BE81ADD-676F-4ED0-88E0-E295EC513316}"/>
    <cellStyle name="Berechnung 2 3 4" xfId="1531" xr:uid="{8FC1632F-10CB-4C6D-9C0E-CAEAE247F8EB}"/>
    <cellStyle name="Berechnung 2 3 5" xfId="1903" xr:uid="{F988979A-A8AC-48E6-906B-484E2E9CAEA0}"/>
    <cellStyle name="Berechnung 2 4" xfId="603" xr:uid="{6333BC88-587E-4ADE-9099-68A47480C6A7}"/>
    <cellStyle name="Berechnung 2 4 2" xfId="818" xr:uid="{EA987C54-2234-4615-9413-538809A8C28B}"/>
    <cellStyle name="Berechnung 2 4 2 2" xfId="1183" xr:uid="{FD8406B2-540E-4636-8735-A0260C027BF3}"/>
    <cellStyle name="Berechnung 2 4 2 3" xfId="1794" xr:uid="{53C667C1-843F-4471-9FA9-E52BC6C10548}"/>
    <cellStyle name="Berechnung 2 4 2 4" xfId="2165" xr:uid="{8C2FA5EB-9B11-4307-B2C1-92B63AB3F876}"/>
    <cellStyle name="Berechnung 2 4 3" xfId="1227" xr:uid="{87F931E6-CEF8-4839-ACC9-31F2B2DE83BE}"/>
    <cellStyle name="Berechnung 2 4 4" xfId="1587" xr:uid="{6B80E81B-A7B4-4ED1-9F8B-5957EFBBC2A5}"/>
    <cellStyle name="Berechnung 2 4 5" xfId="1959" xr:uid="{B7F1B573-9A5D-49BF-BB1A-5B4399CAE8D9}"/>
    <cellStyle name="Berechnung 2 5" xfId="740" xr:uid="{E9EAA837-AA6C-4576-8448-BB229E3524AC}"/>
    <cellStyle name="Berechnung 2 5 2" xfId="1074" xr:uid="{4238E600-0AED-4CCC-ABE8-2A5B7DF5D7BF}"/>
    <cellStyle name="Berechnung 2 5 3" xfId="1716" xr:uid="{53EE8D2A-38FB-4E40-8663-2A568487E138}"/>
    <cellStyle name="Berechnung 2 5 4" xfId="2087" xr:uid="{254FAD7B-B606-4A90-8C55-8E54D5AE2341}"/>
    <cellStyle name="Berechnung 2 6" xfId="1253" xr:uid="{644E69C3-1387-4F7B-98BD-836BA45633C6}"/>
    <cellStyle name="Berechnung 2 7" xfId="1093" xr:uid="{0509A720-285E-48A9-8A8F-32C367F393FB}"/>
    <cellStyle name="Berechnung 2 8" xfId="65" xr:uid="{632D8D34-A96D-4ADD-9047-60A68043D10A}"/>
    <cellStyle name="Berechnung 3" xfId="306" xr:uid="{EF71C98E-116A-4493-9B6C-BD11A737C747}"/>
    <cellStyle name="Berechnung 3 2" xfId="645" xr:uid="{A12D1CCD-7946-4679-8F31-DBB2805C85BF}"/>
    <cellStyle name="Berechnung 3 2 2" xfId="860" xr:uid="{EAC0DEB7-330D-4B63-B2BD-06AEEA75E0E4}"/>
    <cellStyle name="Berechnung 3 2 2 2" xfId="1149" xr:uid="{B13DC556-7019-46B8-BA21-F9FCA12AB9F1}"/>
    <cellStyle name="Berechnung 3 2 2 3" xfId="1836" xr:uid="{953B4336-BDEB-4971-8CA6-CA3D055D6954}"/>
    <cellStyle name="Berechnung 3 2 2 4" xfId="2207" xr:uid="{41541910-B4AF-4057-9A53-D334ECCAB752}"/>
    <cellStyle name="Berechnung 3 2 3" xfId="1414" xr:uid="{CAD8F9D7-74EE-4317-91CF-9253917DD983}"/>
    <cellStyle name="Berechnung 3 2 4" xfId="1629" xr:uid="{01151005-2E3B-450A-9C92-6F8919D11455}"/>
    <cellStyle name="Berechnung 3 2 5" xfId="2001" xr:uid="{8B0A1C35-737C-494E-B5BE-07804A6A461D}"/>
    <cellStyle name="Berechnung 3 3" xfId="581" xr:uid="{AE392EFD-39E4-4C9B-86CF-F82B4D8D4B60}"/>
    <cellStyle name="Berechnung 3 3 2" xfId="796" xr:uid="{FA43C83A-99A4-4D0A-A1DF-B2E4189048C1}"/>
    <cellStyle name="Berechnung 3 3 2 2" xfId="1067" xr:uid="{C7CA0401-E1E8-4CBD-A3DA-388F19CB88BA}"/>
    <cellStyle name="Berechnung 3 3 2 3" xfId="1772" xr:uid="{AD3D68BE-AE7D-4657-AC45-114BC8A94950}"/>
    <cellStyle name="Berechnung 3 3 2 4" xfId="2143" xr:uid="{43AEE9BA-9EAA-4323-97CE-73E64AED9495}"/>
    <cellStyle name="Berechnung 3 3 3" xfId="1101" xr:uid="{C0FD5BCF-4E97-450C-8971-2466AC63B9F3}"/>
    <cellStyle name="Berechnung 3 3 4" xfId="1565" xr:uid="{52B4A560-7985-47CE-9922-E72D6725402D}"/>
    <cellStyle name="Berechnung 3 3 5" xfId="1937" xr:uid="{B154C745-29F5-413E-B398-C026B54E4EA1}"/>
    <cellStyle name="Berechnung 3 4" xfId="593" xr:uid="{D7DDE1A8-EA5E-4341-A81B-8376A15755DA}"/>
    <cellStyle name="Berechnung 3 4 2" xfId="808" xr:uid="{C10DA0E1-1F86-4CBB-ADDD-64D3D7611909}"/>
    <cellStyle name="Berechnung 3 4 2 2" xfId="1260" xr:uid="{8E06C819-D7B0-439F-B0AE-1ADA4007C718}"/>
    <cellStyle name="Berechnung 3 4 2 3" xfId="1784" xr:uid="{51ED25D4-ADE4-4462-BA87-8E7CEBD62085}"/>
    <cellStyle name="Berechnung 3 4 2 4" xfId="2155" xr:uid="{B0754232-EA23-4D4C-A19E-B937D8F638DA}"/>
    <cellStyle name="Berechnung 3 4 3" xfId="1177" xr:uid="{2FE9D19C-5704-47CC-BE57-36327585CBF2}"/>
    <cellStyle name="Berechnung 3 4 4" xfId="1577" xr:uid="{9F5ED67D-9DE8-4B85-8F72-5396BA944402}"/>
    <cellStyle name="Berechnung 3 4 5" xfId="1949" xr:uid="{80E8F290-BDC5-4B9A-8F3C-D2F2A846AECA}"/>
    <cellStyle name="Berechnung 3 5" xfId="731" xr:uid="{72921CB0-6C4A-4B28-A753-C804DF1E5BC6}"/>
    <cellStyle name="Berechnung 3 5 2" xfId="1377" xr:uid="{93504B52-0D9A-4FB2-A60F-7D50DA1D7D86}"/>
    <cellStyle name="Berechnung 3 5 3" xfId="1710" xr:uid="{EF7BBBDE-9CC4-4B84-B9A8-3EE817076954}"/>
    <cellStyle name="Berechnung 3 5 4" xfId="2082" xr:uid="{616888C7-DBC2-475C-A75C-6DD5B21D0029}"/>
    <cellStyle name="Berechnung 3 6" xfId="1431" xr:uid="{DFFA4F89-43F5-4098-9898-F00B7249CD1E}"/>
    <cellStyle name="Berechnung 3 7" xfId="1007" xr:uid="{6B11D248-1D8C-4EAB-8E35-AE0A37D3317D}"/>
    <cellStyle name="Berechnung 3 8" xfId="1304" xr:uid="{DD989543-8516-49A3-A219-B011CC6A0447}"/>
    <cellStyle name="Berechnung 4" xfId="578" xr:uid="{40DA6C11-038A-4E46-8812-81C741CF5559}"/>
    <cellStyle name="Berechnung 4 2" xfId="793" xr:uid="{B2FA2580-6521-4FC9-B98F-00DD7A04454C}"/>
    <cellStyle name="Berechnung 4 2 2" xfId="1066" xr:uid="{863AC02B-CE42-4AC6-B958-1A5B8C8C760F}"/>
    <cellStyle name="Berechnung 4 2 3" xfId="1769" xr:uid="{E0E315A0-0CD1-480F-A7A3-01CE81EB71BF}"/>
    <cellStyle name="Berechnung 4 2 4" xfId="2140" xr:uid="{8716F89A-AF58-495D-95E1-600BF64F7CAC}"/>
    <cellStyle name="Berechnung 4 3" xfId="1432" xr:uid="{19527443-3809-4112-9522-59137FFE10E2}"/>
    <cellStyle name="Berechnung 4 4" xfId="1562" xr:uid="{2A00715E-59E5-4BC7-93B7-E7FD5320010E}"/>
    <cellStyle name="Berechnung 4 5" xfId="1934" xr:uid="{D1C2A20F-04F3-43BC-B2B5-900BDF903506}"/>
    <cellStyle name="Berechnung 5" xfId="695" xr:uid="{196D1146-856D-4B85-BDFE-BC5D7C817B29}"/>
    <cellStyle name="Berechnung 5 2" xfId="910" xr:uid="{A2C166BE-B09B-43F0-9FD1-163BE7206FBF}"/>
    <cellStyle name="Berechnung 5 2 2" xfId="1502" xr:uid="{C1425373-09DF-4529-83B3-310E0A75E81B}"/>
    <cellStyle name="Berechnung 5 2 3" xfId="1886" xr:uid="{8018D42F-0ACE-476B-AD8C-EA411816870A}"/>
    <cellStyle name="Berechnung 5 2 4" xfId="2257" xr:uid="{D4882505-BD05-4811-AEA0-FF5DF9C237CB}"/>
    <cellStyle name="Berechnung 5 3" xfId="1424" xr:uid="{A56644B5-7BF5-4FB6-9BED-AE9367D75C7C}"/>
    <cellStyle name="Berechnung 5 4" xfId="1679" xr:uid="{5160594E-B997-4E6D-92CB-9A6194B7AC7A}"/>
    <cellStyle name="Berechnung 5 5" xfId="2051" xr:uid="{146C2E83-22EC-4BCD-A75F-1DEA47B71585}"/>
    <cellStyle name="Berechnung 6" xfId="707" xr:uid="{BC737815-3D97-41A7-86A9-B960165645F2}"/>
    <cellStyle name="Berechnung 6 2" xfId="921" xr:uid="{C1BB0E2A-D084-419A-89C4-4810406F4171}"/>
    <cellStyle name="Berechnung 6 2 2" xfId="1513" xr:uid="{B78FA652-E5BD-4C21-AEA5-B88D66F69646}"/>
    <cellStyle name="Berechnung 6 2 3" xfId="1897" xr:uid="{52A20295-3C82-4B57-A9F3-668C15093C83}"/>
    <cellStyle name="Berechnung 6 2 4" xfId="2268" xr:uid="{FD495315-24CC-4348-9475-E60475D886C1}"/>
    <cellStyle name="Berechnung 6 3" xfId="1162" xr:uid="{EDDCFC01-B9D5-4DEA-BB1C-BA63AC13CF29}"/>
    <cellStyle name="Berechnung 6 4" xfId="1690" xr:uid="{0CB0F1FF-8B88-4D9C-838E-090FCF7E806D}"/>
    <cellStyle name="Berechnung 6 5" xfId="2062" xr:uid="{1C72DD34-4B52-4BA7-9D40-46E68134ABA3}"/>
    <cellStyle name="Berechnung 7" xfId="713" xr:uid="{C1D777E2-5B44-45CA-B05E-D728AFD5AD5E}"/>
    <cellStyle name="Berechnung 7 2" xfId="930" xr:uid="{CCA654C7-29B1-4FEC-BE61-84980019C587}"/>
    <cellStyle name="Berechnung 7 3" xfId="1696" xr:uid="{77759BF4-DEAE-477F-BA52-A9B42130646F}"/>
    <cellStyle name="Berechnung 7 4" xfId="2068" xr:uid="{0B89FDD9-A9F2-42E2-B8F5-ABB7387D456A}"/>
    <cellStyle name="Bold GHG Numbers (0.00)" xfId="161" xr:uid="{3FEB66A2-F924-47FA-B122-223A0F7216D1}"/>
    <cellStyle name="Calc Currency (0)" xfId="2286" xr:uid="{937E7240-BB96-4D2F-B099-07CAC13EA7E0}"/>
    <cellStyle name="Calc Currency (2)" xfId="2287" xr:uid="{AE09BAAC-D03C-4448-B335-6C6B8E5E893F}"/>
    <cellStyle name="Calc Percent (0)" xfId="2288" xr:uid="{37D8CEE5-67B6-4DA5-A1B0-63D591C60FDD}"/>
    <cellStyle name="Calc Percent (1)" xfId="2289" xr:uid="{4E2BB494-3F62-444C-A39A-849B0C72468E}"/>
    <cellStyle name="Calc Percent (2)" xfId="2290" xr:uid="{284E4765-F291-47FE-9408-64A162B480A8}"/>
    <cellStyle name="Calc Units (0)" xfId="2291" xr:uid="{D8E4D7C0-45B3-47B5-8FB5-39FBC1195D6A}"/>
    <cellStyle name="Calc Units (1)" xfId="2292" xr:uid="{B298010E-FC0F-488F-919F-D4194F1D9220}"/>
    <cellStyle name="Calc Units (2)" xfId="2293" xr:uid="{036ECF76-1508-44F2-B0DB-16D6EAEC277D}"/>
    <cellStyle name="Calculation 2" xfId="162" xr:uid="{4CDA0B0A-92C2-429A-B6C2-63DD3227C4A8}"/>
    <cellStyle name="Calculation 2 2" xfId="580" xr:uid="{071053A7-6ADB-4424-9A4A-CD39E8B0D68A}"/>
    <cellStyle name="Calculation 2 2 2" xfId="795" xr:uid="{95A04BAE-D65B-4E02-828B-9E435A0F78AF}"/>
    <cellStyle name="Calculation 2 2 2 2" xfId="1168" xr:uid="{744DB1D4-957C-4A00-B2EE-5BBC02CFC7F1}"/>
    <cellStyle name="Calculation 2 2 2 3" xfId="1771" xr:uid="{FCBDE3F8-1266-4BE1-98A4-0A0947AEC860}"/>
    <cellStyle name="Calculation 2 2 2 4" xfId="2142" xr:uid="{93620864-64AD-4701-B064-DFC572161215}"/>
    <cellStyle name="Calculation 2 2 3" xfId="942" xr:uid="{D24C508A-9050-4E19-8AEC-AA669BD07371}"/>
    <cellStyle name="Calculation 2 2 4" xfId="1564" xr:uid="{7BEA0726-D6DF-4E6B-BEE8-D437262F0A5E}"/>
    <cellStyle name="Calculation 2 2 5" xfId="1936" xr:uid="{9A0D2106-4BEF-4FD2-9D1E-F4A74726B5D3}"/>
    <cellStyle name="Calculation 2 3" xfId="664" xr:uid="{3E388F13-7BBE-486C-ACD2-0D08091F2A77}"/>
    <cellStyle name="Calculation 2 3 2" xfId="879" xr:uid="{A5B39AE9-9D6F-4140-8332-A15296CBB11A}"/>
    <cellStyle name="Calculation 2 3 2 2" xfId="1165" xr:uid="{54C4B6DA-9751-4881-91D9-14E1C188EA49}"/>
    <cellStyle name="Calculation 2 3 2 3" xfId="1855" xr:uid="{811EAD72-E00E-45A7-8CC3-06425F5A9634}"/>
    <cellStyle name="Calculation 2 3 2 4" xfId="2226" xr:uid="{6552BEDE-98F8-46FD-8D07-058A7640C71B}"/>
    <cellStyle name="Calculation 2 3 3" xfId="1239" xr:uid="{B8386B0F-DCD7-4A28-9E04-924184A2D6F3}"/>
    <cellStyle name="Calculation 2 3 4" xfId="1648" xr:uid="{90E696E0-0132-4F31-97FA-50AD24CFC984}"/>
    <cellStyle name="Calculation 2 3 5" xfId="2020" xr:uid="{48A5E686-9B60-46EF-8759-4D3559BE38EF}"/>
    <cellStyle name="Calculation 2 4" xfId="570" xr:uid="{B6FA0EF7-73B3-49BD-9CDC-A52496E39F69}"/>
    <cellStyle name="Calculation 2 4 2" xfId="785" xr:uid="{4DEC392C-AFA7-4E20-8BBF-510BAE15711F}"/>
    <cellStyle name="Calculation 2 4 2 2" xfId="1079" xr:uid="{0CC7E0D5-624B-4C31-818A-1C037FB751F9}"/>
    <cellStyle name="Calculation 2 4 2 3" xfId="1761" xr:uid="{574A4D2A-88D2-4402-8080-1858218A5E5D}"/>
    <cellStyle name="Calculation 2 4 2 4" xfId="2132" xr:uid="{E92BCF18-7524-4491-B2F6-B22DFE11CD55}"/>
    <cellStyle name="Calculation 2 4 3" xfId="1207" xr:uid="{467A20C5-E16A-4FEA-BB07-A3F663C70F9A}"/>
    <cellStyle name="Calculation 2 4 4" xfId="1554" xr:uid="{E533936B-4932-4131-945B-79A3F7CE0F63}"/>
    <cellStyle name="Calculation 2 4 5" xfId="1926" xr:uid="{8013D02D-E361-4C47-A98A-B2D45B7A4183}"/>
    <cellStyle name="Calculation 2 5" xfId="714" xr:uid="{63DB3D99-9C66-4289-9FD0-4B6686A811D6}"/>
    <cellStyle name="Calculation 2 5 2" xfId="1375" xr:uid="{46FA2E84-5051-47B0-BDAB-539E7AA19427}"/>
    <cellStyle name="Calculation 2 5 3" xfId="1697" xr:uid="{EAFC3B79-F4A3-4891-874B-86C82614CE07}"/>
    <cellStyle name="Calculation 2 5 4" xfId="2069" xr:uid="{BFA0DE61-1CCF-4B84-A43B-A24ED61ACC74}"/>
    <cellStyle name="Calculation 2 6" xfId="1348" xr:uid="{E03A2D65-CE4A-479E-829E-ECF2DA72016A}"/>
    <cellStyle name="Calculation 2 7" xfId="1225" xr:uid="{F8806682-6180-4169-9F38-94AC56B27A03}"/>
    <cellStyle name="Calculation 2 8" xfId="1003" xr:uid="{00027F7F-5E0B-4605-8921-68D3CF57A284}"/>
    <cellStyle name="Calculation 3" xfId="258" xr:uid="{1EE7AAC6-21D6-46F1-86B4-5E0F8D111A83}"/>
    <cellStyle name="Calculation 3 2" xfId="619" xr:uid="{23409B14-EE2D-41AB-941A-0970241BAED7}"/>
    <cellStyle name="Calculation 3 2 2" xfId="834" xr:uid="{412B3A67-8E8D-4FD3-89AF-2A22E05AC8AE}"/>
    <cellStyle name="Calculation 3 2 2 2" xfId="961" xr:uid="{C7829994-5CBE-4DBC-A756-B8CCB1E250D8}"/>
    <cellStyle name="Calculation 3 2 2 3" xfId="1810" xr:uid="{35BF2247-C7DA-4B34-B402-9F2DAC1D4E6F}"/>
    <cellStyle name="Calculation 3 2 2 4" xfId="2181" xr:uid="{088392F9-B5CD-4590-8AE4-6683E8635515}"/>
    <cellStyle name="Calculation 3 2 3" xfId="1354" xr:uid="{9D02B812-D28E-4704-AA0A-E162734188C2}"/>
    <cellStyle name="Calculation 3 2 4" xfId="1603" xr:uid="{84B4F0A1-E6D6-4208-B78E-A4AB49B715BA}"/>
    <cellStyle name="Calculation 3 2 5" xfId="1975" xr:uid="{6DCE3773-8095-4E9D-BF51-FD7F48D7C26C}"/>
    <cellStyle name="Calculation 3 3" xfId="605" xr:uid="{E1E46AC5-F9CE-4AB3-8E5A-539BC29B74A4}"/>
    <cellStyle name="Calculation 3 3 2" xfId="820" xr:uid="{1AB31A17-EBD3-4BE2-A810-75F1013ED012}"/>
    <cellStyle name="Calculation 3 3 2 2" xfId="1233" xr:uid="{9D4F851D-2302-49E0-9782-14FC20DDDD1C}"/>
    <cellStyle name="Calculation 3 3 2 3" xfId="1796" xr:uid="{B774ACE2-6887-457D-8290-ABB87027B4AE}"/>
    <cellStyle name="Calculation 3 3 2 4" xfId="2167" xr:uid="{AEEB5C06-33A2-46A3-8F7F-97D12C95BDC6}"/>
    <cellStyle name="Calculation 3 3 3" xfId="1427" xr:uid="{C127CFB6-95B2-4AC6-B30B-DBF48FE79C0F}"/>
    <cellStyle name="Calculation 3 3 4" xfId="1589" xr:uid="{1574672B-A798-4E94-91A1-FA1641FBABC7}"/>
    <cellStyle name="Calculation 3 3 5" xfId="1961" xr:uid="{095FC8CC-0F7F-4111-A75D-28D943E43A26}"/>
    <cellStyle name="Calculation 3 4" xfId="689" xr:uid="{01761D4F-D470-4E87-8A0A-98646BF6D407}"/>
    <cellStyle name="Calculation 3 4 2" xfId="904" xr:uid="{47AE2EA7-72A5-44E6-B78C-6A0D1203371D}"/>
    <cellStyle name="Calculation 3 4 2 2" xfId="1496" xr:uid="{CF4807A2-1ADD-46E4-A64F-09A0FFA2E26F}"/>
    <cellStyle name="Calculation 3 4 2 3" xfId="1880" xr:uid="{62E1DDB5-245E-432C-A6C3-C740F31E73A4}"/>
    <cellStyle name="Calculation 3 4 2 4" xfId="2251" xr:uid="{02BA47D5-D57F-465D-AFBA-4EBB26AF076F}"/>
    <cellStyle name="Calculation 3 4 3" xfId="1339" xr:uid="{4FAA1B3B-5C8B-47F0-9BAA-2F328E9F49A8}"/>
    <cellStyle name="Calculation 3 4 4" xfId="1673" xr:uid="{CDC151E4-17C7-42F0-8849-187D45CEB6AF}"/>
    <cellStyle name="Calculation 3 4 5" xfId="2045" xr:uid="{3F4EFD16-7FA1-473A-BA66-CB21D977A3D6}"/>
    <cellStyle name="Calculation 3 5" xfId="722" xr:uid="{2919E0E6-AA44-4596-8AD0-C86060472339}"/>
    <cellStyle name="Calculation 3 5 2" xfId="1274" xr:uid="{CFD84216-077C-4083-A206-8050A1682AB6}"/>
    <cellStyle name="Calculation 3 5 3" xfId="1705" xr:uid="{9FE56217-0D53-441A-BC44-FA9B60E7CE20}"/>
    <cellStyle name="Calculation 3 5 4" xfId="2077" xr:uid="{E55647E2-5FF5-4416-89F3-3941E085614C}"/>
    <cellStyle name="Calculation 3 6" xfId="1370" xr:uid="{8E47245B-EA95-4EA2-9E1E-2383891E93A1}"/>
    <cellStyle name="Calculation 3 7" xfId="1229" xr:uid="{489DEBD3-0C8C-4A53-A72C-A73881D7731B}"/>
    <cellStyle name="Calculation 3 8" xfId="1148" xr:uid="{704FE998-EAE8-475B-8F86-FA8C5245C7EB}"/>
    <cellStyle name="Check Cell 2" xfId="163" xr:uid="{B5D32B62-BB36-4FB9-A7A0-D675F00BF46C}"/>
    <cellStyle name="Check Cell 3" xfId="259" xr:uid="{784AEC6C-D503-4EE0-B1A1-55F454467E2E}"/>
    <cellStyle name="Check Cell 4" xfId="403" xr:uid="{84D1E89F-5174-483E-97B0-33FCA31459F7}"/>
    <cellStyle name="Comma" xfId="20" builtinId="3"/>
    <cellStyle name="Comma [0]" xfId="13" builtinId="6"/>
    <cellStyle name="Comma [0] 2" xfId="1" xr:uid="{720AC5F4-E745-4D15-AC6B-57F0BB328BA6}"/>
    <cellStyle name="Comma [0] 2 2" xfId="9" xr:uid="{00000000-0005-0000-0000-000001000000}"/>
    <cellStyle name="Comma [0] 2 2 10" xfId="2380" xr:uid="{513E00D2-8427-4263-8C6E-823EDA5937B7}"/>
    <cellStyle name="Comma [0] 2 2 11" xfId="2341" xr:uid="{FB3FFDA3-4141-42BE-9DCD-789390203D37}"/>
    <cellStyle name="Comma [0] 2 2 2" xfId="2356" xr:uid="{DD156D93-4222-4C70-89A3-706FFF418693}"/>
    <cellStyle name="Comma [0] 2 2 3" xfId="2385" xr:uid="{D5DA7D12-53F9-446F-ABBE-8A53376D23CA}"/>
    <cellStyle name="Comma [0] 2 2 4" xfId="2388" xr:uid="{4A164D95-3F2A-4D24-B4D5-EB8CA47FFCA5}"/>
    <cellStyle name="Comma [0] 2 2 5" xfId="2395" xr:uid="{CB62198E-9234-4284-B58A-C4529EEC09AA}"/>
    <cellStyle name="Comma [0] 2 2 6" xfId="2400" xr:uid="{DE90B6ED-586F-4885-BF1B-5C5D09AACEC3}"/>
    <cellStyle name="Comma [0] 2 2 7" xfId="2411" xr:uid="{931D44F3-ABAF-4615-BAF6-4609A3C20BD0}"/>
    <cellStyle name="Comma [0] 2 2 8" xfId="2415" xr:uid="{5C84A5DB-6211-48C7-AFBE-94A906DD36F6}"/>
    <cellStyle name="Comma [0] 2 2 9" xfId="2422" xr:uid="{50A10C41-CAB7-455A-8F0D-3DF3F89F9478}"/>
    <cellStyle name="Comma [0] 2 3" xfId="12" xr:uid="{00000000-0005-0000-0000-000001000000}"/>
    <cellStyle name="Comma [0] 2 3 2" xfId="2329" xr:uid="{EC6A36B7-C479-4BCE-9C5A-1613FEE3DB65}"/>
    <cellStyle name="Comma [0] 2 4" xfId="2366" xr:uid="{107AF63D-75C6-4A14-B361-CBD3BBE5AF84}"/>
    <cellStyle name="Comma [0] 2 5" xfId="2282" xr:uid="{52F86779-8328-4DD3-9B1A-5F83C51204CA}"/>
    <cellStyle name="Comma [0] 2 6" xfId="2278" xr:uid="{610BDADD-955A-4C4F-8542-12C7A87060B5}"/>
    <cellStyle name="Comma [0] 3" xfId="8" xr:uid="{00000000-0005-0000-0000-000035000000}"/>
    <cellStyle name="Comma [0] 3 2" xfId="2280" xr:uid="{42FAB597-7841-4D25-B05B-644E5A2A57A8}"/>
    <cellStyle name="Comma [0] 3 2 2" xfId="2332" xr:uid="{3044FAB6-5F52-4AA3-B831-2933402F33C8}"/>
    <cellStyle name="Comma [0] 3 3" xfId="2368" xr:uid="{5DBA55D8-168E-46C4-B941-1AF4CF1F4210}"/>
    <cellStyle name="Comma [0] 3 4" xfId="2285" xr:uid="{1651F8CD-D111-4BD2-B11E-11D5699F8191}"/>
    <cellStyle name="Comma [0] 4" xfId="11" xr:uid="{00000000-0005-0000-0000-000038000000}"/>
    <cellStyle name="Comma [0] 4 2" xfId="2323" xr:uid="{4A6551F2-6C74-4E34-A17D-C6793FD098DE}"/>
    <cellStyle name="Comma [0] 5" xfId="2431" xr:uid="{6EA8FDDF-22D4-463D-B34E-A2948D7F6AB7}"/>
    <cellStyle name="Comma [0] 6" xfId="2277" xr:uid="{16B8CEFE-6042-4840-B14D-4BA751720539}"/>
    <cellStyle name="Comma [00]" xfId="2294" xr:uid="{06355C77-777E-4C2C-ABA2-B30347A4AC1D}"/>
    <cellStyle name="Comma 10" xfId="2354" xr:uid="{EDA9819C-CC29-40F2-AB83-042E19A8341C}"/>
    <cellStyle name="Comma 11" xfId="2351" xr:uid="{FAA5E247-ADAE-4229-912B-AAEEC514FFC2}"/>
    <cellStyle name="Comma 12" xfId="2384" xr:uid="{365CE5AC-D2E4-4741-939E-C108705CE724}"/>
    <cellStyle name="Comma 13" xfId="2382" xr:uid="{E3330A8D-EA5B-4123-8CD0-579B27965695}"/>
    <cellStyle name="Comma 14" xfId="2387" xr:uid="{BB9CD173-67B6-419C-809F-89989AE7F506}"/>
    <cellStyle name="Comma 15" xfId="2394" xr:uid="{8E848010-201A-47CA-A35D-41806E79615B}"/>
    <cellStyle name="Comma 16" xfId="2390" xr:uid="{8F6F7E20-0C74-4E3F-8743-F93F1738EDC7}"/>
    <cellStyle name="Comma 17" xfId="2393" xr:uid="{6201BE1A-AD0E-44E5-B0A3-A9282B4692D9}"/>
    <cellStyle name="Comma 18" xfId="2399" xr:uid="{4801C166-AA14-46B0-B60A-BD48C45D7FE6}"/>
    <cellStyle name="Comma 19" xfId="2397" xr:uid="{1A6405EE-32D4-4ED3-B719-EAE9DF63A602}"/>
    <cellStyle name="Comma 2" xfId="164" xr:uid="{3671973F-3DC1-486F-9065-F458F7E0EDFA}"/>
    <cellStyle name="Comma 2 2" xfId="165" xr:uid="{FC166547-2BF6-4E61-BB8B-3FEDA5BB87B1}"/>
    <cellStyle name="Comma 2 2 2" xfId="448" xr:uid="{EC1A88E1-B56F-4B03-9FC6-5534FB38814B}"/>
    <cellStyle name="Comma 2 3" xfId="2284" xr:uid="{58F98ECA-BE2A-4181-81C9-0CD7EF248E88}"/>
    <cellStyle name="Comma 20" xfId="2410" xr:uid="{889C429D-4681-474D-8D16-DEA470A3F91E}"/>
    <cellStyle name="Comma 21" xfId="2403" xr:uid="{318D07C9-B0D9-40AA-A39F-E4E3C25C35A6}"/>
    <cellStyle name="Comma 22" xfId="2409" xr:uid="{D1871292-E07F-4DBB-BC4E-A98D9D937479}"/>
    <cellStyle name="Comma 23" xfId="2406" xr:uid="{A02424BA-7D5F-4AB5-8E28-EBF123EB0E7C}"/>
    <cellStyle name="Comma 24" xfId="2405" xr:uid="{F91E93BC-A261-47E5-89C7-786E758107D9}"/>
    <cellStyle name="Comma 25" xfId="2413" xr:uid="{F9559FDE-4814-4A81-B56B-9687DFEC36A9}"/>
    <cellStyle name="Comma 26" xfId="2414" xr:uid="{DD645D90-2262-405B-ACAE-EC1E6FE1447B}"/>
    <cellStyle name="Comma 27" xfId="2421" xr:uid="{3DAE9808-7984-4B51-AD28-A740A0CEF170}"/>
    <cellStyle name="Comma 28" xfId="2423" xr:uid="{851EF0CD-2C30-404D-A672-87CD4D85646F}"/>
    <cellStyle name="Comma 29" xfId="2358" xr:uid="{811103EC-8418-4780-A77A-2FAB0700CAAB}"/>
    <cellStyle name="Comma 3" xfId="166" xr:uid="{1260E5FF-DDB8-4A95-A1A6-F42968CC2667}"/>
    <cellStyle name="Comma 3 2" xfId="2283" xr:uid="{6B1C5CC3-1D02-4083-8F01-C43D3B4BF8EE}"/>
    <cellStyle name="Comma 30" xfId="2361" xr:uid="{47C5FEEA-38D2-41C8-8E76-796E5C137F9B}"/>
    <cellStyle name="Comma 31" xfId="2425" xr:uid="{271543C1-E745-4E55-8DE4-6E171A06DDC6}"/>
    <cellStyle name="Comma 32" xfId="2427" xr:uid="{9DB215CC-E9A8-480D-BF99-EB645521E7D6}"/>
    <cellStyle name="Comma 33" xfId="2430" xr:uid="{E4348F55-C397-4E50-BF60-848C8F85530F}"/>
    <cellStyle name="Comma 4" xfId="2336" xr:uid="{369D0A20-C364-42EC-8862-72BB795EDE31}"/>
    <cellStyle name="Comma 5" xfId="2347" xr:uid="{17C8A48A-B8A9-4859-8A88-791E120678EB}"/>
    <cellStyle name="Comma 6" xfId="2343" xr:uid="{47408F00-7799-4424-8FA0-37A681CD6C5D}"/>
    <cellStyle name="Comma 7" xfId="2346" xr:uid="{F8ACD8E6-A61E-41E8-BA26-E2BEDFB58AD2}"/>
    <cellStyle name="Comma 8" xfId="2355" xr:uid="{B7BDA07E-CBF7-4FEB-AC1F-E065E7416C15}"/>
    <cellStyle name="Comma 9" xfId="2349" xr:uid="{7454994E-8423-4734-B996-3B99E1D02957}"/>
    <cellStyle name="Constants" xfId="24" xr:uid="{5A47AF08-1886-4688-9A15-09AB709BB81C}"/>
    <cellStyle name="ContentsHyperlink" xfId="275" xr:uid="{2EA282B9-DD3F-48E4-B499-443F0FEBD5F0}"/>
    <cellStyle name="Currency [00]" xfId="2295" xr:uid="{A1AC3677-E698-427D-AF35-B46036BCAD69}"/>
    <cellStyle name="CustomCellsOrange" xfId="167" xr:uid="{59D47F6D-253D-4542-A90C-7D145E9B3352}"/>
    <cellStyle name="CustomCellsOrange 2" xfId="449" xr:uid="{50A0B01F-7858-452B-B05C-8C85D7070645}"/>
    <cellStyle name="CustomCellsOrange 2 2" xfId="472" xr:uid="{CFAC51F3-3240-43F1-832F-D157A2407383}"/>
    <cellStyle name="CustomCellsOrange 2 2 2" xfId="542" xr:uid="{F8D0C9A0-6FB4-4A56-A715-E97F68166F1D}"/>
    <cellStyle name="CustomCellsOrange 2 2 2 2" xfId="708" xr:uid="{FD599029-E441-4A57-87FC-EFA2582FA10A}"/>
    <cellStyle name="CustomCellsOrange 2 2 2 2 2" xfId="922" xr:uid="{644685E2-5181-4524-B913-BDBA22F36972}"/>
    <cellStyle name="CustomCellsOrange 2 2 2 2 2 2" xfId="1514" xr:uid="{580B9F35-C94E-4639-AAEC-338E282DC4D3}"/>
    <cellStyle name="CustomCellsOrange 2 2 2 2 2 3" xfId="1898" xr:uid="{65F78D5B-9316-470E-A4DF-AA0237164853}"/>
    <cellStyle name="CustomCellsOrange 2 2 2 2 2 4" xfId="2269" xr:uid="{A0600338-D958-4882-90A2-8CE4C55F2492}"/>
    <cellStyle name="CustomCellsOrange 2 2 2 2 3" xfId="1129" xr:uid="{15581DBE-7786-4915-9DE7-DF231BA857E7}"/>
    <cellStyle name="CustomCellsOrange 2 2 2 2 4" xfId="1691" xr:uid="{E4EBF225-BA71-4209-B29F-95FB73B64158}"/>
    <cellStyle name="CustomCellsOrange 2 2 2 2 5" xfId="2063" xr:uid="{D48993D2-9BA6-4021-99A7-0D2CE85CAC8F}"/>
    <cellStyle name="CustomCellsOrange 2 2 3" xfId="691" xr:uid="{63F0655F-8BE3-475D-90E6-8A77D71C7F27}"/>
    <cellStyle name="CustomCellsOrange 2 2 3 2" xfId="906" xr:uid="{3FBD9753-E5D3-459C-A3C3-0415DE842C9B}"/>
    <cellStyle name="CustomCellsOrange 2 2 3 2 2" xfId="1498" xr:uid="{3F5BAAB8-40D0-4C67-844E-E8C15CF96C4D}"/>
    <cellStyle name="CustomCellsOrange 2 2 3 2 3" xfId="1882" xr:uid="{F8399D8A-E13E-48C6-A026-FFBDC3734E8F}"/>
    <cellStyle name="CustomCellsOrange 2 2 3 2 4" xfId="2253" xr:uid="{2F766A6F-D57E-49B4-AE7B-8B9136F922FB}"/>
    <cellStyle name="CustomCellsOrange 2 2 3 3" xfId="1356" xr:uid="{CD92BB70-2108-469B-9B1D-5F914049E7DF}"/>
    <cellStyle name="CustomCellsOrange 2 2 3 4" xfId="1675" xr:uid="{646C4045-96BC-4B38-8A98-880DFA0BB608}"/>
    <cellStyle name="CustomCellsOrange 2 2 3 5" xfId="2047" xr:uid="{01202938-62C6-4389-B1D5-8EC36728B48C}"/>
    <cellStyle name="CustomCellsOrange 2 2 4" xfId="609" xr:uid="{B7D11993-9825-4CDA-ACF0-8F3AC3C308A5}"/>
    <cellStyle name="CustomCellsOrange 2 2 4 2" xfId="824" xr:uid="{42A0051E-33AD-4B3A-99CF-9421C367791F}"/>
    <cellStyle name="CustomCellsOrange 2 2 4 2 2" xfId="1173" xr:uid="{307CADE5-B9B3-4767-85FA-6BCE83734640}"/>
    <cellStyle name="CustomCellsOrange 2 2 4 2 3" xfId="1800" xr:uid="{EEE2A3AE-80F5-4635-A4D1-D49995B5484F}"/>
    <cellStyle name="CustomCellsOrange 2 2 4 2 4" xfId="2171" xr:uid="{5D2025FC-FB11-48EE-B109-91C273082E7F}"/>
    <cellStyle name="CustomCellsOrange 2 2 4 3" xfId="1297" xr:uid="{DF8034EA-4E6C-44BC-B6FD-C59ED8F90A33}"/>
    <cellStyle name="CustomCellsOrange 2 2 4 4" xfId="1593" xr:uid="{A954E42A-CD33-429B-9DFE-6DF3B26BBC8B}"/>
    <cellStyle name="CustomCellsOrange 2 2 4 5" xfId="1965" xr:uid="{42EB112D-E176-4AC1-8DBD-BE55A3892E33}"/>
    <cellStyle name="CustomCellsOrange 2 2 5" xfId="710" xr:uid="{9981D1FC-F649-4B78-B91D-79B319C341D2}"/>
    <cellStyle name="CustomCellsOrange 2 2 5 2" xfId="924" xr:uid="{0DF8D3CC-0EEC-4004-896A-979A5E5D3F56}"/>
    <cellStyle name="CustomCellsOrange 2 2 5 2 2" xfId="1516" xr:uid="{3CE45866-00C4-4FC6-9ABD-9408A0F816D4}"/>
    <cellStyle name="CustomCellsOrange 2 2 5 2 3" xfId="1900" xr:uid="{9D10E049-42BD-4462-95E5-F3CAEEFED56B}"/>
    <cellStyle name="CustomCellsOrange 2 2 5 2 4" xfId="2271" xr:uid="{83A72FF1-2DE2-4EA7-B6D3-AA9C84AA4B90}"/>
    <cellStyle name="CustomCellsOrange 2 2 5 3" xfId="1369" xr:uid="{DCEAD7AB-AE82-4B8C-B5A2-6558E4A178CD}"/>
    <cellStyle name="CustomCellsOrange 2 2 5 4" xfId="1693" xr:uid="{0FAE68AE-34D8-4BFC-930A-D8C1CDB1D7A9}"/>
    <cellStyle name="CustomCellsOrange 2 2 5 5" xfId="2065" xr:uid="{23D8C6E8-AE3B-4FD1-8B50-480869377E1A}"/>
    <cellStyle name="CustomCellsOrange 2 2 6" xfId="1098" xr:uid="{854BAC79-02BB-4A27-B301-ED28C01E20E9}"/>
    <cellStyle name="CustomCellsOrange 2 2 7" xfId="83" xr:uid="{41D55330-1459-4733-AD03-A7005F67C3C7}"/>
    <cellStyle name="CustomCellsOrange 2 2 8" xfId="1236" xr:uid="{C88E0635-50C7-4203-B0A2-9D54BBCEA55C}"/>
    <cellStyle name="CustomCellsOrange 3" xfId="307" xr:uid="{860F36C8-B33E-4870-9DF9-E101CEF381C5}"/>
    <cellStyle name="CustomCellsOrange 3 2" xfId="646" xr:uid="{C08CD969-1AF1-483A-A543-574B105C7453}"/>
    <cellStyle name="CustomCellsOrange 3 2 2" xfId="861" xr:uid="{45B4A282-E3A3-46D4-B61E-A7214D557691}"/>
    <cellStyle name="CustomCellsOrange 3 2 2 2" xfId="1190" xr:uid="{CC4543CA-EA54-44B5-875F-A1C33371F66A}"/>
    <cellStyle name="CustomCellsOrange 3 2 2 3" xfId="1837" xr:uid="{3E6758B2-8209-459F-B0D3-84ECD4F9F4C0}"/>
    <cellStyle name="CustomCellsOrange 3 2 2 4" xfId="2208" xr:uid="{8BB15A5F-D698-479C-ABAB-E6D64B52419D}"/>
    <cellStyle name="CustomCellsOrange 3 2 3" xfId="1203" xr:uid="{4DF97774-E69B-47FC-8FB3-1FD82B66F5EB}"/>
    <cellStyle name="CustomCellsOrange 3 2 4" xfId="1630" xr:uid="{779BA2AF-5FCE-412C-9B6B-1F89A82D3863}"/>
    <cellStyle name="CustomCellsOrange 3 2 5" xfId="2002" xr:uid="{AE02B9F7-799D-4D07-8CD0-64A7D766FA5A}"/>
    <cellStyle name="CustomCellsOrange 3 3" xfId="579" xr:uid="{E49AF2FE-F3E2-46D5-951D-81E5006E5480}"/>
    <cellStyle name="CustomCellsOrange 3 3 2" xfId="794" xr:uid="{7C3C8D71-9779-4E08-99D5-92EB64E72390}"/>
    <cellStyle name="CustomCellsOrange 3 3 2 2" xfId="927" xr:uid="{639C5934-A6DD-46A3-AC63-8B352093A9BE}"/>
    <cellStyle name="CustomCellsOrange 3 3 2 3" xfId="1770" xr:uid="{9C57D91F-5208-4A95-9545-A3A2A672F81E}"/>
    <cellStyle name="CustomCellsOrange 3 3 2 4" xfId="2141" xr:uid="{EC109F5A-0F48-4376-91B8-692573C1416B}"/>
    <cellStyle name="CustomCellsOrange 3 3 3" xfId="1115" xr:uid="{EC1F2799-6873-486B-9966-F5120757D21F}"/>
    <cellStyle name="CustomCellsOrange 3 3 4" xfId="1563" xr:uid="{69080A39-24DD-486C-864A-99112DAEA419}"/>
    <cellStyle name="CustomCellsOrange 3 3 5" xfId="1935" xr:uid="{D87681BA-7EDF-4882-A19C-34C50A12A29C}"/>
    <cellStyle name="CustomCellsOrange 3 4" xfId="592" xr:uid="{A907DCFB-E975-4376-B241-31A87A21C785}"/>
    <cellStyle name="CustomCellsOrange 3 4 2" xfId="807" xr:uid="{96733A4D-A56D-4940-A6E1-7A4437B55EDD}"/>
    <cellStyle name="CustomCellsOrange 3 4 2 2" xfId="935" xr:uid="{5A581A6C-F0FC-4890-9ADB-AAA1EDC7F417}"/>
    <cellStyle name="CustomCellsOrange 3 4 2 3" xfId="1783" xr:uid="{1A86E3C2-A3FB-4B69-8957-3C9F620245AB}"/>
    <cellStyle name="CustomCellsOrange 3 4 2 4" xfId="2154" xr:uid="{87F889FD-48D9-4F3A-A671-B327422B6EF5}"/>
    <cellStyle name="CustomCellsOrange 3 4 3" xfId="1331" xr:uid="{88181248-D28E-4EF4-9293-033060871A6A}"/>
    <cellStyle name="CustomCellsOrange 3 4 4" xfId="1576" xr:uid="{083B5ADA-EE09-433A-9A8A-B74BF76B5ADD}"/>
    <cellStyle name="CustomCellsOrange 3 4 5" xfId="1948" xr:uid="{68D7B6B5-A008-40AF-A432-C042BCC0BA26}"/>
    <cellStyle name="CustomCellsOrange 3 5" xfId="732" xr:uid="{500948F1-1060-4C22-8A49-386F652DD67F}"/>
    <cellStyle name="CustomCellsOrange 3 6" xfId="1368" xr:uid="{7DD77AF3-8BD7-42EF-A276-7E2F3649886B}"/>
    <cellStyle name="CustomCellsOrange 3 7" xfId="1483" xr:uid="{CDA31D1C-80D0-4B86-95F6-B99EE852F639}"/>
    <cellStyle name="CustomCellsOrange 3 8" xfId="1437" xr:uid="{0217D67F-D82B-45D6-8022-902A30A23B90}"/>
    <cellStyle name="CustomizationCells" xfId="39" xr:uid="{BA783A57-CB1C-4EFF-BDDD-AEA0BB17F773}"/>
    <cellStyle name="CustomizationCells 2" xfId="450" xr:uid="{824E3C1C-B0CE-4FC2-BDEB-8AE3718EC01C}"/>
    <cellStyle name="CustomizationCells 2 2" xfId="473" xr:uid="{654655DD-4741-4ADF-B2E9-72D898A537D3}"/>
    <cellStyle name="CustomizationCells 2 2 2" xfId="543" xr:uid="{24E3132B-12E3-4646-B3CE-EB1B591AFAA6}"/>
    <cellStyle name="CustomizationCells 2 2 2 2" xfId="709" xr:uid="{E459CF7A-114A-4ADF-AC61-C25982FC397D}"/>
    <cellStyle name="CustomizationCells 2 2 2 2 2" xfId="923" xr:uid="{B31913ED-1E90-4DCF-BA39-F76F8FCC8351}"/>
    <cellStyle name="CustomizationCells 2 2 2 2 2 2" xfId="1515" xr:uid="{63525D34-C268-4D5D-BAF8-1612BCC3BF53}"/>
    <cellStyle name="CustomizationCells 2 2 2 2 2 3" xfId="1899" xr:uid="{F9AAB58E-0AE1-49BC-A4FC-6168FC47D6C7}"/>
    <cellStyle name="CustomizationCells 2 2 2 2 2 4" xfId="2270" xr:uid="{C280EBD1-35D1-4E17-ACF0-65469F805C84}"/>
    <cellStyle name="CustomizationCells 2 2 2 2 3" xfId="948" xr:uid="{35AB1F76-9015-45A4-9336-CFBD5FB1BE1C}"/>
    <cellStyle name="CustomizationCells 2 2 2 2 4" xfId="1692" xr:uid="{C45E7A50-5F41-44DD-8F02-6A203667B88F}"/>
    <cellStyle name="CustomizationCells 2 2 2 2 5" xfId="2064" xr:uid="{6C607E52-05C6-446C-AD42-B6AF16A7A70C}"/>
    <cellStyle name="CustomizationCells 2 2 3" xfId="692" xr:uid="{8F49315F-FA60-460A-8DBF-1FA296E8D644}"/>
    <cellStyle name="CustomizationCells 2 2 3 2" xfId="907" xr:uid="{BC7471E0-974A-461F-8D21-255CDFAC7835}"/>
    <cellStyle name="CustomizationCells 2 2 3 2 2" xfId="1499" xr:uid="{08C0A1AB-9776-4CC6-AF49-6E2D360E0638}"/>
    <cellStyle name="CustomizationCells 2 2 3 2 3" xfId="1883" xr:uid="{A57A4D65-59B7-43C8-A7D4-A4623DC67411}"/>
    <cellStyle name="CustomizationCells 2 2 3 2 4" xfId="2254" xr:uid="{D25B006A-832E-4A1D-BD6C-E849A77EFF33}"/>
    <cellStyle name="CustomizationCells 2 2 3 3" xfId="1015" xr:uid="{2397850A-2410-48AF-AA2F-C7A0A4B91FDE}"/>
    <cellStyle name="CustomizationCells 2 2 3 4" xfId="1676" xr:uid="{8928C359-CAF5-4ED4-8DC9-5D0DBA8B1578}"/>
    <cellStyle name="CustomizationCells 2 2 3 5" xfId="2048" xr:uid="{FF20E7CA-6C16-4133-8948-6BCE904321BE}"/>
    <cellStyle name="CustomizationCells 2 2 4" xfId="555" xr:uid="{3400CA2B-AA0E-4EC9-8885-1EA40140FFF2}"/>
    <cellStyle name="CustomizationCells 2 2 4 2" xfId="770" xr:uid="{EE270880-F793-4A89-981C-7DAC35A96FC6}"/>
    <cellStyle name="CustomizationCells 2 2 4 2 2" xfId="970" xr:uid="{32E9527E-E259-479A-BB7E-D3F4794D4F58}"/>
    <cellStyle name="CustomizationCells 2 2 4 2 3" xfId="1746" xr:uid="{125902FA-AD1C-4CD1-A781-F3631403CF3F}"/>
    <cellStyle name="CustomizationCells 2 2 4 2 4" xfId="2117" xr:uid="{F394F386-F580-43F3-AF6C-E37A4A121041}"/>
    <cellStyle name="CustomizationCells 2 2 4 3" xfId="1095" xr:uid="{486D26E2-86D9-4A73-B019-15FB8D1BB353}"/>
    <cellStyle name="CustomizationCells 2 2 4 4" xfId="1539" xr:uid="{153A2B3A-41DC-4A3E-927F-1B848DE913CD}"/>
    <cellStyle name="CustomizationCells 2 2 4 5" xfId="1911" xr:uid="{5EADD8F4-57BE-4FB8-AA85-71DB7CFDEA84}"/>
    <cellStyle name="CustomizationCells 2 2 5" xfId="711" xr:uid="{F1DC11A3-CDD1-4025-8CD6-6EEE8B2DF325}"/>
    <cellStyle name="CustomizationCells 2 2 5 2" xfId="925" xr:uid="{98DB0CCF-CDE0-4CCE-9779-10B660DFDADF}"/>
    <cellStyle name="CustomizationCells 2 2 5 3" xfId="1283" xr:uid="{461AB4A2-CD54-4DA7-8EF4-EE4F7D48DFB6}"/>
    <cellStyle name="CustomizationCells 2 2 5 4" xfId="1694" xr:uid="{45163298-CE9A-4665-A87A-B4509260C399}"/>
    <cellStyle name="CustomizationCells 2 2 5 5" xfId="2066" xr:uid="{C6F2BE76-994E-4E2B-B9A6-B7C380BCD6B3}"/>
    <cellStyle name="CustomizationCells 2 2 6" xfId="1294" xr:uid="{E8244BB7-5A2B-40FB-81B6-2C5904718050}"/>
    <cellStyle name="CustomizationCells 2 2 7" xfId="1477" xr:uid="{CE89D80C-C250-43E6-8ABE-79D6184BE75B}"/>
    <cellStyle name="CustomizationCells 2 2 8" xfId="1220" xr:uid="{AEA031BD-E7F4-4B45-BE11-6940C29108A1}"/>
    <cellStyle name="CustomizationCells 3" xfId="308" xr:uid="{F0C17AB2-09F4-49E8-9EA6-0ABCECBADE9D}"/>
    <cellStyle name="CustomizationCells 3 2" xfId="647" xr:uid="{4F4FF20B-B81B-4114-B191-C703B44E0105}"/>
    <cellStyle name="CustomizationCells 3 2 2" xfId="862" xr:uid="{A5C485B3-C953-4756-8D5C-2F693DDE9090}"/>
    <cellStyle name="CustomizationCells 3 2 2 2" xfId="1181" xr:uid="{422D7744-DB28-46FD-8BB9-F458FE31658D}"/>
    <cellStyle name="CustomizationCells 3 2 2 3" xfId="1838" xr:uid="{25712CA5-9021-406A-BCAA-411F51472224}"/>
    <cellStyle name="CustomizationCells 3 2 2 4" xfId="2209" xr:uid="{7EA87B40-86BD-4111-917F-5642C97A2E2C}"/>
    <cellStyle name="CustomizationCells 3 2 3" xfId="944" xr:uid="{C8EF0007-0B4D-42BE-9A6D-8C6A71258E17}"/>
    <cellStyle name="CustomizationCells 3 2 4" xfId="1631" xr:uid="{56D5C8A2-08D4-4D5A-88CC-D533CFC80641}"/>
    <cellStyle name="CustomizationCells 3 2 5" xfId="2003" xr:uid="{D8BCD411-F0DE-4E8B-AA91-756F43F9CAB5}"/>
    <cellStyle name="CustomizationCells 3 3" xfId="674" xr:uid="{346CACEA-9DFE-4E4A-99AE-A2523CB5CD92}"/>
    <cellStyle name="CustomizationCells 3 3 2" xfId="889" xr:uid="{C32854C7-BF0B-4DC9-88F9-E0A14B81101D}"/>
    <cellStyle name="CustomizationCells 3 3 2 2" xfId="1156" xr:uid="{FFED3B57-7B92-4028-9C9B-AD7B039BA61F}"/>
    <cellStyle name="CustomizationCells 3 3 2 3" xfId="1865" xr:uid="{56D319D4-4782-45AE-84D0-6DB892D70499}"/>
    <cellStyle name="CustomizationCells 3 3 2 4" xfId="2236" xr:uid="{BB98B6D2-3010-43E2-A794-4B0174168AF3}"/>
    <cellStyle name="CustomizationCells 3 3 3" xfId="1288" xr:uid="{AF40AAC1-2CE3-4C9C-820D-AD9CBA9C686C}"/>
    <cellStyle name="CustomizationCells 3 3 4" xfId="1658" xr:uid="{8F87EAB3-35DC-409E-8238-0EFE06B39215}"/>
    <cellStyle name="CustomizationCells 3 3 5" xfId="2030" xr:uid="{E38D3369-68EE-4FC7-8C15-C9FB510E9C08}"/>
    <cellStyle name="CustomizationCells 3 4" xfId="594" xr:uid="{F77AA21A-3023-4387-B90A-98380CB0C7EC}"/>
    <cellStyle name="CustomizationCells 3 4 2" xfId="809" xr:uid="{E57E6BC7-A6BC-48E7-8771-5596DB14DA11}"/>
    <cellStyle name="CustomizationCells 3 4 2 2" xfId="955" xr:uid="{E8DDB2A5-505D-491E-A24D-719ACEEE106D}"/>
    <cellStyle name="CustomizationCells 3 4 2 3" xfId="1785" xr:uid="{A23A4205-6F66-490D-8B45-747F92F4C518}"/>
    <cellStyle name="CustomizationCells 3 4 2 4" xfId="2156" xr:uid="{DFE74696-1159-49C7-9E4C-FE8BE0FCCE9C}"/>
    <cellStyle name="CustomizationCells 3 4 3" xfId="1218" xr:uid="{FED73990-3DD8-41FC-92B5-4E4F65EBBCED}"/>
    <cellStyle name="CustomizationCells 3 4 4" xfId="1578" xr:uid="{DF0EFCB8-2C3E-4C40-8C68-2BD14E052C9E}"/>
    <cellStyle name="CustomizationCells 3 4 5" xfId="1950" xr:uid="{0BFA1ADD-3497-41CB-91F6-0FE32E81A4B6}"/>
    <cellStyle name="CustomizationCells 3 5" xfId="733" xr:uid="{09A93C7C-5ABF-4241-BF60-47390B080565}"/>
    <cellStyle name="CustomizationCells 3 6" xfId="1276" xr:uid="{02F3E77C-F0C5-4C28-9444-73C67AA6474E}"/>
    <cellStyle name="CustomizationCells 3 7" xfId="1400" xr:uid="{75F75C82-3FBC-4FDD-9C12-E1D3213333F3}"/>
    <cellStyle name="CustomizationCells 3 8" xfId="1458" xr:uid="{0926C78A-EE81-439B-8FEB-E82356DC81B7}"/>
    <cellStyle name="CustomizationCells 4" xfId="105" xr:uid="{AC441EC2-90B4-4AF3-B155-1521F291537C}"/>
    <cellStyle name="CustomizationGreenCells" xfId="168" xr:uid="{441BAF00-8C00-488B-AABD-E6324AD73619}"/>
    <cellStyle name="CustomizationGreenCells 2" xfId="451" xr:uid="{760B9816-EE5A-40D6-BBE4-6D2B0B619AA0}"/>
    <cellStyle name="CustomizationGreenCells 3" xfId="309" xr:uid="{B4D6179D-626B-4429-AA6E-3F8726543E81}"/>
    <cellStyle name="CustomizationGreenCells 3 2" xfId="648" xr:uid="{37CB6C12-114E-4406-88F1-10D8A9C1EDAB}"/>
    <cellStyle name="CustomizationGreenCells 3 2 2" xfId="863" xr:uid="{5BEF6375-DE0E-4C7C-A618-5BB05AEF8CC8}"/>
    <cellStyle name="CustomizationGreenCells 3 2 2 2" xfId="1419" xr:uid="{3AAB7B27-3CDF-4B04-92A2-71B5F1FC7BF3}"/>
    <cellStyle name="CustomizationGreenCells 3 2 2 3" xfId="1839" xr:uid="{40B4E6C5-D761-4763-9C71-C1C18FE3C33E}"/>
    <cellStyle name="CustomizationGreenCells 3 2 2 4" xfId="2210" xr:uid="{E4C56EF9-CDEE-4820-91ED-F507A867FF19}"/>
    <cellStyle name="CustomizationGreenCells 3 2 3" xfId="1179" xr:uid="{AE21149D-3CAB-4FCC-A17F-2B4AFBC54260}"/>
    <cellStyle name="CustomizationGreenCells 3 2 4" xfId="1632" xr:uid="{EDB99AC0-C4B2-446C-9EEF-16159A882DAC}"/>
    <cellStyle name="CustomizationGreenCells 3 2 5" xfId="2004" xr:uid="{4E628921-93A4-4A3A-8567-AEFBF22E5B43}"/>
    <cellStyle name="CustomizationGreenCells 3 3" xfId="618" xr:uid="{49CD369B-64E9-45A8-89D2-C316D2B3C042}"/>
    <cellStyle name="CustomizationGreenCells 3 3 2" xfId="833" xr:uid="{E23BE794-4CA9-43D1-8A06-C6BC98EA56F0}"/>
    <cellStyle name="CustomizationGreenCells 3 3 2 2" xfId="1415" xr:uid="{63D4EF8E-2669-43BF-A105-A1789D985CDD}"/>
    <cellStyle name="CustomizationGreenCells 3 3 2 3" xfId="1809" xr:uid="{F82DF5D7-72AB-425F-BFCC-F981BC8E127F}"/>
    <cellStyle name="CustomizationGreenCells 3 3 2 4" xfId="2180" xr:uid="{50062FD6-3A01-4E72-8424-1E770E0F11EA}"/>
    <cellStyle name="CustomizationGreenCells 3 3 3" xfId="1117" xr:uid="{35BF20A7-741D-47D5-9F24-3F45D6D3BF04}"/>
    <cellStyle name="CustomizationGreenCells 3 3 4" xfId="1602" xr:uid="{F3F60D5F-A64B-4D7B-BC9E-7A4334D0A8CD}"/>
    <cellStyle name="CustomizationGreenCells 3 3 5" xfId="1974" xr:uid="{5867DD8D-4623-4B49-B453-134077EBFA98}"/>
    <cellStyle name="CustomizationGreenCells 3 4" xfId="551" xr:uid="{2BA6B975-A362-4D4B-82C9-ECE86B8FE1E3}"/>
    <cellStyle name="CustomizationGreenCells 3 4 2" xfId="766" xr:uid="{D7371BF7-4892-4011-8F2C-5236A3C198F1}"/>
    <cellStyle name="CustomizationGreenCells 3 4 2 2" xfId="974" xr:uid="{5B4FE254-5AD3-49AB-9151-EF0E31B8E6BF}"/>
    <cellStyle name="CustomizationGreenCells 3 4 2 3" xfId="1742" xr:uid="{72D37070-D4ED-4E97-95E4-446A8965583D}"/>
    <cellStyle name="CustomizationGreenCells 3 4 2 4" xfId="2113" xr:uid="{32FC148B-2AF8-48C7-9441-FA45303D6690}"/>
    <cellStyle name="CustomizationGreenCells 3 4 3" xfId="1180" xr:uid="{8693D4A4-5338-4E5E-8F9A-3D21FDD0B547}"/>
    <cellStyle name="CustomizationGreenCells 3 4 4" xfId="1535" xr:uid="{6481FA47-7A46-4274-B5A0-B050922C5088}"/>
    <cellStyle name="CustomizationGreenCells 3 4 5" xfId="1907" xr:uid="{A6798E62-AC35-44FB-9739-9DCA15054AB6}"/>
    <cellStyle name="CustomizationGreenCells 3 5" xfId="734" xr:uid="{5B75A437-95E5-4791-AE5B-38023F8C9EBF}"/>
    <cellStyle name="CustomizationGreenCells 3 6" xfId="1055" xr:uid="{DB03C712-FC1F-49D1-ACEA-92CE0F851F00}"/>
    <cellStyle name="CustomizationGreenCells 3 7" xfId="1329" xr:uid="{D70A8A5F-56D3-4895-A530-D45259FDC3A2}"/>
    <cellStyle name="CustomizationGreenCells 3 8" xfId="1119" xr:uid="{C0B804F0-4931-4ABB-8449-A8065B9215D4}"/>
    <cellStyle name="Date" xfId="7" xr:uid="{50D1799A-A772-4217-A5E0-F0DDB456B1A4}"/>
    <cellStyle name="Date Short" xfId="2296" xr:uid="{87202DEC-9C56-4492-B088-B07CB482F418}"/>
    <cellStyle name="DocBox_EmptyRow" xfId="36" xr:uid="{364F7F53-6750-4715-850B-1539BB587074}"/>
    <cellStyle name="Eingabe" xfId="22" xr:uid="{398031ED-C6D7-4C61-8B7E-4A5664A53BAA}"/>
    <cellStyle name="Eingabe 2" xfId="406" xr:uid="{65BDE1C9-D441-45A1-9324-042D2E2FF67D}"/>
    <cellStyle name="Eingabe 3" xfId="452" xr:uid="{F3FFB3F4-B793-454D-8E9B-115B542002E8}"/>
    <cellStyle name="Eingabe 3 2" xfId="688" xr:uid="{91865D5D-E9C1-47EE-965E-3FFBDE6DE47B}"/>
    <cellStyle name="Eingabe 3 2 2" xfId="903" xr:uid="{16F210A8-7771-4313-ABA2-89CAA4AFEC03}"/>
    <cellStyle name="Eingabe 3 2 2 2" xfId="1495" xr:uid="{1E6670A7-7ED9-419E-9687-473F0684F040}"/>
    <cellStyle name="Eingabe 3 2 2 3" xfId="1879" xr:uid="{5745C8F7-ABBB-4E2D-9875-9126193C14D8}"/>
    <cellStyle name="Eingabe 3 2 2 4" xfId="2250" xr:uid="{B9256E29-BF63-49E1-AD99-68AE06D49326}"/>
    <cellStyle name="Eingabe 3 2 3" xfId="1416" xr:uid="{590D25F8-1B41-4508-A657-53F845941CAF}"/>
    <cellStyle name="Eingabe 3 2 4" xfId="1672" xr:uid="{30FBD618-CFC5-4502-9D59-A80D401F2895}"/>
    <cellStyle name="Eingabe 3 2 5" xfId="2044" xr:uid="{36F79D55-AC4F-4D61-81C1-13D820757BBE}"/>
    <cellStyle name="Eingabe 3 3" xfId="677" xr:uid="{874FAC7D-DB5E-448E-B296-623584585B56}"/>
    <cellStyle name="Eingabe 3 3 2" xfId="892" xr:uid="{3E8AE5E3-DE96-48B2-9FB0-DB047AD9054F}"/>
    <cellStyle name="Eingabe 3 3 2 2" xfId="1106" xr:uid="{1FD4CC04-E58F-4160-884C-AD3AA0C72E25}"/>
    <cellStyle name="Eingabe 3 3 2 3" xfId="1868" xr:uid="{B46C3131-0E94-4A05-966E-98A431CA9BD0}"/>
    <cellStyle name="Eingabe 3 3 2 4" xfId="2239" xr:uid="{DBDC8B52-6B3E-4DE4-AF6D-B275B4031AD7}"/>
    <cellStyle name="Eingabe 3 3 3" xfId="1197" xr:uid="{5A66EA59-652E-45D1-8235-1D27106F86DF}"/>
    <cellStyle name="Eingabe 3 3 4" xfId="1661" xr:uid="{2598121C-05BF-46CF-8908-0E1368355B0E}"/>
    <cellStyle name="Eingabe 3 3 5" xfId="2033" xr:uid="{773874C7-C531-4027-88DC-D3BB3AB50518}"/>
    <cellStyle name="Eingabe 3 4" xfId="568" xr:uid="{764126B1-A55B-4347-BC29-96C155C3CDF0}"/>
    <cellStyle name="Eingabe 3 4 2" xfId="783" xr:uid="{C27D50AE-C74A-4D98-A894-0730FCFE12C5}"/>
    <cellStyle name="Eingabe 3 4 2 2" xfId="1157" xr:uid="{2FF92294-5787-43C2-AB5A-B72A5BA82748}"/>
    <cellStyle name="Eingabe 3 4 2 3" xfId="1759" xr:uid="{5C7F2302-7DD3-492A-840F-B32D1029DBDA}"/>
    <cellStyle name="Eingabe 3 4 2 4" xfId="2130" xr:uid="{3FF3B017-B921-4DD5-8E7D-9F05E87A02B6}"/>
    <cellStyle name="Eingabe 3 4 3" xfId="1449" xr:uid="{0E8B4435-D368-4D90-BFB6-4AFF97268291}"/>
    <cellStyle name="Eingabe 3 4 4" xfId="1552" xr:uid="{3E72972E-4987-4140-8A66-A21914F4149B}"/>
    <cellStyle name="Eingabe 3 4 5" xfId="1924" xr:uid="{6186A2C8-4163-49AB-97E5-3C20D36AB953}"/>
    <cellStyle name="Eingabe 3 5" xfId="751" xr:uid="{845C0733-1922-4718-BBEC-02BA26733E46}"/>
    <cellStyle name="Eingabe 3 5 2" xfId="1362" xr:uid="{9FBB2B8B-001F-403C-8CC2-FA2EB2DF91D3}"/>
    <cellStyle name="Eingabe 3 5 3" xfId="1727" xr:uid="{B17BB897-720F-4F45-97D7-27B129772050}"/>
    <cellStyle name="Eingabe 3 5 4" xfId="2098" xr:uid="{0C5F3AE8-8A46-4F16-9B36-B437306FDFD7}"/>
    <cellStyle name="Eingabe 3 6" xfId="1041" xr:uid="{17827B19-8B4D-40AB-A235-253A1DD10A81}"/>
    <cellStyle name="Eingabe 3 7" xfId="1151" xr:uid="{BD75BE15-321A-4369-B9FA-52F374B27C86}"/>
    <cellStyle name="Eingabe 3 8" xfId="1056" xr:uid="{CAD48FCA-E366-467E-BF3C-334CC2546BD5}"/>
    <cellStyle name="Eingabe 4" xfId="311" xr:uid="{64B3A962-E451-4DC9-B1EF-9B0EBAB7EE60}"/>
    <cellStyle name="Eingabe 4 2" xfId="649" xr:uid="{11E98C0C-CE26-420A-A110-96FAC8B2D8B7}"/>
    <cellStyle name="Eingabe 4 2 2" xfId="864" xr:uid="{E863E295-BF1F-4AA9-B6FE-3A6588249CDE}"/>
    <cellStyle name="Eingabe 4 2 2 2" xfId="1008" xr:uid="{588DAC93-4975-44E6-9C40-69308A63499F}"/>
    <cellStyle name="Eingabe 4 2 2 3" xfId="1840" xr:uid="{AA96ADE7-5EEE-4436-8F03-EC1333668227}"/>
    <cellStyle name="Eingabe 4 2 2 4" xfId="2211" xr:uid="{32D7993A-D134-4A5A-8B5D-7E4A7323A650}"/>
    <cellStyle name="Eingabe 4 2 3" xfId="1187" xr:uid="{D8D800B5-DFE0-433F-95F1-CBAA9BCDC5C5}"/>
    <cellStyle name="Eingabe 4 2 4" xfId="1633" xr:uid="{6B23D2E8-A3C8-4B4E-BBFB-37938946CEB1}"/>
    <cellStyle name="Eingabe 4 2 5" xfId="2005" xr:uid="{76E66CC0-AB02-4259-87B6-5CF5FA162A59}"/>
    <cellStyle name="Eingabe 4 3" xfId="576" xr:uid="{0FAE4AAE-EB7E-4B43-98B2-BC603C52FD8B}"/>
    <cellStyle name="Eingabe 4 3 2" xfId="791" xr:uid="{0E956D42-43D2-4FBE-B67E-2E13E649CE1B}"/>
    <cellStyle name="Eingabe 4 3 2 2" xfId="1050" xr:uid="{3C020439-8801-45DD-A838-A8E98A2CAA3F}"/>
    <cellStyle name="Eingabe 4 3 2 3" xfId="1767" xr:uid="{84D927A2-F5EF-4CD5-A0BE-B4D4F51CDCFE}"/>
    <cellStyle name="Eingabe 4 3 2 4" xfId="2138" xr:uid="{D5E358F6-4A7A-4A14-ADF0-D019343EBB15}"/>
    <cellStyle name="Eingabe 4 3 3" xfId="1036" xr:uid="{7979C6D3-E215-4612-B880-2D54FBA38956}"/>
    <cellStyle name="Eingabe 4 3 4" xfId="1560" xr:uid="{3C5947C6-FA17-4982-AE16-8CC4C9E02ACB}"/>
    <cellStyle name="Eingabe 4 3 5" xfId="1932" xr:uid="{0B3A7E1D-8CC7-4939-8434-C73C6CCD343C}"/>
    <cellStyle name="Eingabe 4 4" xfId="552" xr:uid="{EB2F91A0-1B16-493C-A51A-9191D3ACAD1F}"/>
    <cellStyle name="Eingabe 4 4 2" xfId="767" xr:uid="{5ABF84F0-BA7E-4FEA-A30B-E948DE1411E3}"/>
    <cellStyle name="Eingabe 4 4 2 2" xfId="1138" xr:uid="{EB7090BD-74A7-40C7-B010-7C429AB9271E}"/>
    <cellStyle name="Eingabe 4 4 2 3" xfId="1743" xr:uid="{72ED6EA6-3B03-4707-ABCD-A4A00579063D}"/>
    <cellStyle name="Eingabe 4 4 2 4" xfId="2114" xr:uid="{0A7787EA-855F-4FD2-AE1A-789B233A961A}"/>
    <cellStyle name="Eingabe 4 4 3" xfId="1287" xr:uid="{73D1D01B-E8C2-4F52-B257-A1D4DF4C6353}"/>
    <cellStyle name="Eingabe 4 4 4" xfId="1536" xr:uid="{BF946DC5-CF06-486C-BB03-7C8857006D30}"/>
    <cellStyle name="Eingabe 4 4 5" xfId="1908" xr:uid="{1F33D603-4A02-4AD4-B8E6-77514311D424}"/>
    <cellStyle name="Eingabe 4 5" xfId="735" xr:uid="{82F5D8CB-D1DD-4165-9AD9-0A40E0ED094B}"/>
    <cellStyle name="Eingabe 4 5 2" xfId="1219" xr:uid="{5A5DE559-0D46-4972-9880-94F2AD7D61D3}"/>
    <cellStyle name="Eingabe 4 5 3" xfId="1712" xr:uid="{C34E4A1B-6241-446F-9AED-924A9F452AB7}"/>
    <cellStyle name="Eingabe 4 5 4" xfId="2083" xr:uid="{1227DB78-0DBA-4677-9186-F96E801EC729}"/>
    <cellStyle name="Eingabe 4 6" xfId="1402" xr:uid="{30833769-7757-4EF6-825E-8389BA4375D4}"/>
    <cellStyle name="Eingabe 4 7" xfId="69" xr:uid="{3D8E6FC2-E715-4794-917D-275EE202032F}"/>
    <cellStyle name="Eingabe 4 8" xfId="1460" xr:uid="{3BD58B94-8931-48C1-97F8-AC06B3ACD6A4}"/>
    <cellStyle name="Eingabe 5" xfId="586" xr:uid="{3D3FF8D6-E015-4960-BF2D-EF4A378D568C}"/>
    <cellStyle name="Eingabe 5 2" xfId="801" xr:uid="{1E21A39F-4520-4C99-B3EF-EB6C8F8E8901}"/>
    <cellStyle name="Eingabe 5 2 2" xfId="940" xr:uid="{129FBDA2-5E4A-4647-847A-A3239C1E26A1}"/>
    <cellStyle name="Eingabe 5 2 3" xfId="1777" xr:uid="{DC527992-F9E1-4146-97E2-DD65B31499DA}"/>
    <cellStyle name="Eingabe 5 2 4" xfId="2148" xr:uid="{9392C8A0-8CC0-4AA2-BECE-ABAFD2D65A8C}"/>
    <cellStyle name="Eingabe 5 3" xfId="1485" xr:uid="{02A3CFEA-9067-4A84-88CA-DD183DB3AE97}"/>
    <cellStyle name="Eingabe 5 4" xfId="1570" xr:uid="{ACEC0148-82F7-462E-B2FD-A1F2FBD92754}"/>
    <cellStyle name="Eingabe 5 5" xfId="1942" xr:uid="{1E6C2636-2F58-4000-AB35-B7928AB43579}"/>
    <cellStyle name="Eingabe 6" xfId="663" xr:uid="{362C2D38-4054-491F-B025-E5EE2E467DFB}"/>
    <cellStyle name="Eingabe 6 2" xfId="878" xr:uid="{A2F7F486-30E1-49BF-8D7D-632BFB6C8B6B}"/>
    <cellStyle name="Eingabe 6 2 2" xfId="1278" xr:uid="{523BEE2E-8370-4EA9-AE02-119653A90A74}"/>
    <cellStyle name="Eingabe 6 2 3" xfId="1854" xr:uid="{94AD89FF-547D-41EF-B5BD-FFFECE4C65DB}"/>
    <cellStyle name="Eingabe 6 2 4" xfId="2225" xr:uid="{F3C27046-0968-41B4-A24D-C8E8A8FB7758}"/>
    <cellStyle name="Eingabe 6 3" xfId="1413" xr:uid="{7384716F-54E1-4ED9-AAEA-48875310E4CF}"/>
    <cellStyle name="Eingabe 6 4" xfId="1647" xr:uid="{CEC5E727-7CED-41F7-BEE7-64FADC579A18}"/>
    <cellStyle name="Eingabe 6 5" xfId="2019" xr:uid="{980C5F8F-44D1-46DB-9498-771EA53615E9}"/>
    <cellStyle name="Eingabe 7" xfId="706" xr:uid="{4925958C-328E-4B6F-AB67-4B434C1871EF}"/>
    <cellStyle name="Eingabe 7 2" xfId="920" xr:uid="{6C8A72E5-9621-44A1-AB6F-C8CABC663945}"/>
    <cellStyle name="Eingabe 7 2 2" xfId="1512" xr:uid="{E6210823-9588-419B-8A3E-5E8ABA5B3BAE}"/>
    <cellStyle name="Eingabe 7 2 3" xfId="1896" xr:uid="{7FA7C6BF-B40E-47C5-9EBF-4ECAA8A935F1}"/>
    <cellStyle name="Eingabe 7 2 4" xfId="2267" xr:uid="{5EA538AF-86AD-43C5-92FB-C38C2685C393}"/>
    <cellStyle name="Eingabe 7 3" xfId="1301" xr:uid="{A9DA8323-BF90-4B6D-8456-46E2600509E3}"/>
    <cellStyle name="Eingabe 7 4" xfId="1689" xr:uid="{EF165572-28FC-48F3-B48D-FDF192B28ACC}"/>
    <cellStyle name="Eingabe 7 5" xfId="2061" xr:uid="{DC99B06F-BB77-4974-9638-88CDB2A8BD43}"/>
    <cellStyle name="Eingabe 8" xfId="715" xr:uid="{6617EFF4-E553-4078-AD75-3159879C8A67}"/>
    <cellStyle name="Eingabe 8 2" xfId="1487" xr:uid="{9A129A7A-A429-48EE-9CFD-0CDFF42E25ED}"/>
    <cellStyle name="Eingabe 8 3" xfId="1698" xr:uid="{7D6B3464-65DE-43C0-BA07-E85FBC0B6DC7}"/>
    <cellStyle name="Eingabe 8 4" xfId="2070" xr:uid="{6D73C055-A8B3-431E-A712-B8F886FC3192}"/>
    <cellStyle name="Empty_B_border" xfId="42" xr:uid="{B17EFF6D-F08C-440C-979A-F0B1B5AE1461}"/>
    <cellStyle name="Enter Currency (0)" xfId="2297" xr:uid="{C06DD54A-E278-486E-9798-520DB592ED37}"/>
    <cellStyle name="Enter Currency (2)" xfId="2298" xr:uid="{94B4840C-6E6E-4DAA-972B-2E6D71232D83}"/>
    <cellStyle name="Enter Units (0)" xfId="2299" xr:uid="{D2CDC99C-F27E-444E-8285-228C4D137DE3}"/>
    <cellStyle name="Enter Units (1)" xfId="2300" xr:uid="{E45E9623-F901-4691-A6F1-646D282B0B7D}"/>
    <cellStyle name="Enter Units (2)" xfId="2301" xr:uid="{BD3E7DC5-EEB3-446A-A1D2-E68A5D531D43}"/>
    <cellStyle name="Ergebnis" xfId="79" hidden="1" xr:uid="{F08FCAE5-C414-44C3-98A4-9260F74150A2}"/>
    <cellStyle name="Ergebnis" xfId="1320" hidden="1" xr:uid="{B7A082F4-7E83-41ED-A3C9-A7465DD742B3}"/>
    <cellStyle name="Ergebnis" xfId="1470" hidden="1" xr:uid="{F699340A-7ABB-461E-97F5-252C1A3B5996}"/>
    <cellStyle name="Ergebnis" xfId="978" hidden="1" xr:uid="{F4C99BF0-A138-4C3F-B3E2-81ED3A84E506}"/>
    <cellStyle name="Ergebnis" xfId="1347" hidden="1" xr:uid="{7639DCE4-FE28-40F8-9007-7E2FDE64200A}"/>
    <cellStyle name="Ergebnis" xfId="1526" hidden="1" xr:uid="{6511DA26-6731-41C0-9670-9737D3767B47}"/>
    <cellStyle name="Ergebnis 2" xfId="427" xr:uid="{1DC8F822-240E-4C18-AD5B-A7218333C023}"/>
    <cellStyle name="Ergebnis 2 2" xfId="683" xr:uid="{97ACFAA5-A008-4EC8-9142-BFDF1C922610}"/>
    <cellStyle name="Ergebnis 2 2 2" xfId="898" xr:uid="{23D74142-55D1-4B9F-BEE4-09AAF17411D7}"/>
    <cellStyle name="Ergebnis 2 2 2 2" xfId="963" xr:uid="{BE8D6497-FE57-4D58-A0E9-D82928F581BF}"/>
    <cellStyle name="Ergebnis 2 2 2 3" xfId="1874" xr:uid="{7B041BCE-C4B9-4B9F-AF43-7F13B9E57A03}"/>
    <cellStyle name="Ergebnis 2 2 2 4" xfId="2245" xr:uid="{95EBE25C-2C7C-4E12-8287-DB5D76259627}"/>
    <cellStyle name="Ergebnis 2 2 3" xfId="1316" xr:uid="{4ECDFD54-A25F-4BAD-B556-37102500C35C}"/>
    <cellStyle name="Ergebnis 2 2 4" xfId="1667" xr:uid="{28DC5D25-D030-4A42-8943-F7D0F0712B6F}"/>
    <cellStyle name="Ergebnis 2 2 5" xfId="2039" xr:uid="{4F8ACE99-E92A-4A8E-BC7B-C15DDD003ECA}"/>
    <cellStyle name="Ergebnis 2 3" xfId="615" xr:uid="{01D6F374-2E7A-454E-8D04-490342FA04AD}"/>
    <cellStyle name="Ergebnis 2 3 2" xfId="830" xr:uid="{293677FF-902C-4FDD-A7E7-860D6CE32AD8}"/>
    <cellStyle name="Ergebnis 2 3 2 2" xfId="1084" xr:uid="{79AFD00D-C210-45A2-AA53-CB863CFC35CC}"/>
    <cellStyle name="Ergebnis 2 3 2 3" xfId="1806" xr:uid="{26672AE1-96FF-49B3-887B-4E6758BFC692}"/>
    <cellStyle name="Ergebnis 2 3 2 4" xfId="2177" xr:uid="{2C41A0C6-01EC-4A74-9B28-8A7BD6078D93}"/>
    <cellStyle name="Ergebnis 2 3 3" xfId="1121" xr:uid="{5EDE5D7C-565B-4E6F-89D5-F53AD7530B5D}"/>
    <cellStyle name="Ergebnis 2 3 4" xfId="1599" xr:uid="{693C5A29-78AF-4697-A737-30A014E74B2A}"/>
    <cellStyle name="Ergebnis 2 3 5" xfId="1971" xr:uid="{8167EE54-573A-488B-8481-5CB18135FEB5}"/>
    <cellStyle name="Ergebnis 2 4" xfId="606" xr:uid="{567F00B7-3F79-488D-A48F-491CE62E24FF}"/>
    <cellStyle name="Ergebnis 2 4 2" xfId="821" xr:uid="{CC0278DD-DB5C-4547-A2BE-BCC3CE2B8D9E}"/>
    <cellStyle name="Ergebnis 2 4 2 2" xfId="1103" xr:uid="{8D9FA3E3-D046-414F-986F-0829055F2F5B}"/>
    <cellStyle name="Ergebnis 2 4 2 3" xfId="1797" xr:uid="{4EA61E15-F8EE-405A-87FA-BC621C42026D}"/>
    <cellStyle name="Ergebnis 2 4 2 4" xfId="2168" xr:uid="{AFAD685A-DAD3-4AEF-9E3A-4EEE91FDC2CB}"/>
    <cellStyle name="Ergebnis 2 4 3" xfId="1393" xr:uid="{AA8C159B-CF85-4D31-AD2F-51023AF29587}"/>
    <cellStyle name="Ergebnis 2 4 4" xfId="1590" xr:uid="{4E551E37-CE44-4FA3-999F-C9C84A33562A}"/>
    <cellStyle name="Ergebnis 2 4 5" xfId="1962" xr:uid="{CE8D497D-55A5-41F2-B6DA-C1B8E1166691}"/>
    <cellStyle name="Ergebnis 2 5" xfId="741" xr:uid="{14930478-51C8-40D0-A119-762EDFCB6909}"/>
    <cellStyle name="Ergebnis 2 5 2" xfId="1303" xr:uid="{0BCA265F-26FA-4E3B-8801-53D2E3F5B9DA}"/>
    <cellStyle name="Ergebnis 2 5 3" xfId="1717" xr:uid="{5160C743-4B25-4406-991F-1F39268674A7}"/>
    <cellStyle name="Ergebnis 2 5 4" xfId="2088" xr:uid="{C59F6F8F-BFB7-48A5-A5A0-9E79DA1F730D}"/>
    <cellStyle name="Ergebnis 2 6" xfId="1279" xr:uid="{4AF81749-A055-40F0-B892-B55F931D42DB}"/>
    <cellStyle name="Ergebnis 2 7" xfId="1305" xr:uid="{4CBF1C3D-4916-446D-B7D3-1FCE520FB8B7}"/>
    <cellStyle name="Ergebnis 2 8" xfId="71" xr:uid="{03430A82-7C75-4CC6-A083-A816B151101E}"/>
    <cellStyle name="Ergebnis 3" xfId="320" xr:uid="{61AFB341-8D47-4DBC-8143-F7C850A0C10A}"/>
    <cellStyle name="Ergebnis 3 2" xfId="657" xr:uid="{98C206AF-0000-430B-859A-D8065DE1B2F1}"/>
    <cellStyle name="Ergebnis 3 2 2" xfId="872" xr:uid="{B0B1F4F3-75DD-47EC-BBA6-8BADBF783873}"/>
    <cellStyle name="Ergebnis 3 2 2 2" xfId="1342" xr:uid="{C0F1E800-2384-46D6-86AA-ABEC9E5C6A8B}"/>
    <cellStyle name="Ergebnis 3 2 2 3" xfId="1848" xr:uid="{8F781BD4-5544-4EE8-B462-959695D98138}"/>
    <cellStyle name="Ergebnis 3 2 2 4" xfId="2219" xr:uid="{822EF386-1879-415C-A019-D6723DB82994}"/>
    <cellStyle name="Ergebnis 3 2 3" xfId="1452" xr:uid="{95EAA752-C1FD-4EC6-B0A9-4DE5DBC47E5E}"/>
    <cellStyle name="Ergebnis 3 2 4" xfId="1641" xr:uid="{07B0A617-08A0-4951-BE92-B8C34273742C}"/>
    <cellStyle name="Ergebnis 3 2 5" xfId="2013" xr:uid="{A171D65E-1107-4653-87B7-5CB3EBDA0072}"/>
    <cellStyle name="Ergebnis 3 3" xfId="571" xr:uid="{07FDF763-660D-4CA0-8941-72A1A16883EB}"/>
    <cellStyle name="Ergebnis 3 3 2" xfId="786" xr:uid="{57073585-9EBC-45B1-9EB7-24648C95A8CD}"/>
    <cellStyle name="Ergebnis 3 3 2 2" xfId="1169" xr:uid="{F2F26B20-73BA-4247-A349-2BA5F2860D10}"/>
    <cellStyle name="Ergebnis 3 3 2 3" xfId="1762" xr:uid="{18825F46-E4D1-4AD1-A8E5-63BD5F31E389}"/>
    <cellStyle name="Ergebnis 3 3 2 4" xfId="2133" xr:uid="{10652ACF-F6D3-4364-896A-628A84925B7B}"/>
    <cellStyle name="Ergebnis 3 3 3" xfId="1120" xr:uid="{BA10FA87-B670-42E6-9DC5-B1B36A9D09C9}"/>
    <cellStyle name="Ergebnis 3 3 4" xfId="1555" xr:uid="{3D053EDF-95A4-450C-97FB-41B337A39E11}"/>
    <cellStyle name="Ergebnis 3 3 5" xfId="1927" xr:uid="{0D7388AE-DCA5-4174-84C4-5BC653874648}"/>
    <cellStyle name="Ergebnis 3 4" xfId="598" xr:uid="{89E600A3-5858-4F07-B8A9-EA4F5E968744}"/>
    <cellStyle name="Ergebnis 3 4 2" xfId="813" xr:uid="{6E2A8B54-E0D4-42EF-9125-C89758EF997B}"/>
    <cellStyle name="Ergebnis 3 4 2 2" xfId="1102" xr:uid="{EC71D81A-2ABC-4B26-A89F-CF7A7FFB523C}"/>
    <cellStyle name="Ergebnis 3 4 2 3" xfId="1789" xr:uid="{B55072CC-6928-4691-8DDE-B5C5F60BA78A}"/>
    <cellStyle name="Ergebnis 3 4 2 4" xfId="2160" xr:uid="{9F2D3FDA-7DED-4390-9F1B-9779CE96D191}"/>
    <cellStyle name="Ergebnis 3 4 3" xfId="1380" xr:uid="{F81A3124-F6CD-440F-B659-373CC3AA233C}"/>
    <cellStyle name="Ergebnis 3 4 4" xfId="1582" xr:uid="{5F607189-0212-4601-93EE-45C184F15DB0}"/>
    <cellStyle name="Ergebnis 3 4 5" xfId="1954" xr:uid="{3ADC2F9F-CE10-48B1-958B-0282CAEA23AD}"/>
    <cellStyle name="Ergebnis 3 5" xfId="737" xr:uid="{8F9CBD0A-6B13-402F-99C7-37B760791F2C}"/>
    <cellStyle name="Ergebnis 3 5 2" xfId="1341" xr:uid="{BEAE0B7C-1D92-485A-A212-B0A47B2F8BCA}"/>
    <cellStyle name="Ergebnis 3 5 3" xfId="1714" xr:uid="{5B4E829D-5F3F-41B8-83C2-487A7F725204}"/>
    <cellStyle name="Ergebnis 3 5 4" xfId="2085" xr:uid="{D69133EF-8323-49A4-BF58-3B1E687DECF9}"/>
    <cellStyle name="Ergebnis 3 6" xfId="1223" xr:uid="{748BBB0D-0E85-469D-8880-31CF9F63DFE3}"/>
    <cellStyle name="Ergebnis 3 7" xfId="1443" xr:uid="{CF5D0DAE-28D0-46D0-87DB-7FBD8D9D2F22}"/>
    <cellStyle name="Ergebnis 3 8" xfId="1155" xr:uid="{8BA78273-EEFC-4563-BA3E-A12514D5A979}"/>
    <cellStyle name="Ergebnis 4" xfId="587" xr:uid="{983014D1-068F-436E-8FD4-5C3C616AEFA4}"/>
    <cellStyle name="Ergebnis 4 2" xfId="802" xr:uid="{352BCF01-111E-4396-9F94-75D59842DE05}"/>
    <cellStyle name="Ergebnis 4 2 2" xfId="1147" xr:uid="{46FA799A-41B3-4485-9654-A5E663AAC6DB}"/>
    <cellStyle name="Ergebnis 4 2 3" xfId="1778" xr:uid="{38ED02F3-5035-49C3-8A98-D0DAD6402A05}"/>
    <cellStyle name="Ergebnis 4 2 4" xfId="2149" xr:uid="{BCA333EE-9E66-4F7F-9A5C-C1A7C15C3C7F}"/>
    <cellStyle name="Ergebnis 4 3" xfId="1130" xr:uid="{0E4F709D-1C91-4E5F-92B6-2C6AD606FAD0}"/>
    <cellStyle name="Ergebnis 4 4" xfId="1571" xr:uid="{4260B068-F9D7-4BFD-A3FA-8535DA671C19}"/>
    <cellStyle name="Ergebnis 4 5" xfId="1943" xr:uid="{000D1081-3C99-4C04-B6CE-C125DE3C01A1}"/>
    <cellStyle name="Ergebnis 5" xfId="661" xr:uid="{DCB0F5DA-DB28-4F2D-9C82-70EC61F3BFF6}"/>
    <cellStyle name="Ergebnis 5 2" xfId="876" xr:uid="{3771251C-8097-432A-AB09-4AF3B39AE2BA}"/>
    <cellStyle name="Ergebnis 5 2 2" xfId="971" xr:uid="{AC0E5057-9E6D-4747-BF60-B5D6A5DA426F}"/>
    <cellStyle name="Ergebnis 5 2 3" xfId="1852" xr:uid="{A2282360-9535-448C-AAB5-EACD01CA4F85}"/>
    <cellStyle name="Ergebnis 5 2 4" xfId="2223" xr:uid="{F564F9AF-BEA5-43DD-9079-6590082DB11D}"/>
    <cellStyle name="Ergebnis 5 3" xfId="1038" xr:uid="{9B078251-A33F-4D8E-9D1D-F174D1857487}"/>
    <cellStyle name="Ergebnis 5 4" xfId="1645" xr:uid="{48ED7EB2-7A17-4C58-891E-8574270157C3}"/>
    <cellStyle name="Ergebnis 5 5" xfId="2017" xr:uid="{AB66CF14-A997-4CE6-901B-0DF8F381AADD}"/>
    <cellStyle name="Ergebnis 6" xfId="668" xr:uid="{161483D7-D983-4C9F-9F30-01698E5AD280}"/>
    <cellStyle name="Ergebnis 6 2" xfId="883" xr:uid="{5A138BCA-2C45-41FB-80BB-90A68649F5DF}"/>
    <cellStyle name="Ergebnis 6 2 2" xfId="1184" xr:uid="{EEF6F499-B065-4BB4-BF78-822E1BA56083}"/>
    <cellStyle name="Ergebnis 6 2 3" xfId="1859" xr:uid="{56797983-BF9C-4F05-BB81-3B4E1C518B16}"/>
    <cellStyle name="Ergebnis 6 2 4" xfId="2230" xr:uid="{CBB2FF2A-5789-4CC7-984E-17BE996D95AF}"/>
    <cellStyle name="Ergebnis 6 3" xfId="1451" xr:uid="{A7FD27D0-9ED8-4C69-8E3A-1A4367FA1EB5}"/>
    <cellStyle name="Ergebnis 6 4" xfId="1652" xr:uid="{09920CED-DABA-4F38-A8C0-DD9355C2D820}"/>
    <cellStyle name="Ergebnis 6 5" xfId="2024" xr:uid="{523D6EF2-976D-4D85-8CD0-5BC51EF75114}"/>
    <cellStyle name="Ergebnis 7" xfId="716" xr:uid="{4BE34C74-BBB3-4DF3-8411-D5048FD0CB89}"/>
    <cellStyle name="Ergebnis 7 2" xfId="1464" xr:uid="{ED37F907-BDE6-467B-A7C5-6046C734AA00}"/>
    <cellStyle name="Ergebnis 7 3" xfId="1699" xr:uid="{EA1E57D6-EDFC-4CE6-9026-4BC33E08FA32}"/>
    <cellStyle name="Ergebnis 7 4" xfId="2071" xr:uid="{409E2E15-BF04-4F4B-B43E-D3666C5489BC}"/>
    <cellStyle name="Erklärender Text" xfId="78" hidden="1" xr:uid="{4F449762-EA27-44A2-B60C-71481E361989}"/>
    <cellStyle name="Erklärender Text" xfId="1010" hidden="1" xr:uid="{2156F9F1-3F88-4B95-AF05-9CB242BEFCCB}"/>
    <cellStyle name="Erklärender Text" xfId="1143" hidden="1" xr:uid="{1E6E8CB3-69CC-4D4A-828B-F4FA8CFAE4F5}"/>
    <cellStyle name="Erklärender Text" xfId="977" hidden="1" xr:uid="{6632C7C8-828E-4E6C-A9C6-1FB7EB695CEB}"/>
    <cellStyle name="Erklärender Text" xfId="1457" hidden="1" xr:uid="{2C6D9F07-72D0-44A5-BE72-271E8FDDE09B}"/>
    <cellStyle name="Erklärender Text" xfId="1211" hidden="1" xr:uid="{8A5D6F44-1118-4B82-AB18-17AD9C1128D7}"/>
    <cellStyle name="Erklärender Text 2" xfId="428" xr:uid="{AE6B7E44-921D-4262-82B1-B67D462D8037}"/>
    <cellStyle name="Erklärender Text 3" xfId="310" xr:uid="{F1A509EE-3F8F-43C1-80AE-C554A5B4F8E3}"/>
    <cellStyle name="Explanatory Text 2" xfId="169" xr:uid="{D460F5A6-982E-4740-B16B-13E9BE84633B}"/>
    <cellStyle name="Explanatory Text 3" xfId="260" xr:uid="{CED822C8-C2A8-4910-870D-4892BF476C4D}"/>
    <cellStyle name="Good 2" xfId="170" xr:uid="{EFCE955E-85D8-469A-98BE-E0E1C4DB248C}"/>
    <cellStyle name="Good 3" xfId="261" xr:uid="{3EFE71F5-A70B-4E23-B9E6-2EE5E3818426}"/>
    <cellStyle name="Good 4" xfId="390" xr:uid="{0991CF61-96C5-410D-B17D-1448DB240E87}"/>
    <cellStyle name="Gut" xfId="171" xr:uid="{B5CF3542-0699-46CD-94CF-EB9AC37D6ADD}"/>
    <cellStyle name="Header1" xfId="2302" xr:uid="{0937036A-5845-4C49-B2CD-31DEE087B43A}"/>
    <cellStyle name="Header2" xfId="2303" xr:uid="{3436EDB1-E4C8-436A-B9B0-0494BC70DF65}"/>
    <cellStyle name="Heading 1 2" xfId="172" xr:uid="{A50E34E3-66E6-460E-9BA3-C05883E2CEFB}"/>
    <cellStyle name="Heading 1 3" xfId="262" xr:uid="{C9CE33F8-4C22-475D-B6F3-B447F942F951}"/>
    <cellStyle name="Heading 1 4" xfId="398" xr:uid="{1A16ECA6-701C-4C58-958C-E60C00BC21F2}"/>
    <cellStyle name="Heading 2 2" xfId="173" xr:uid="{7CC457F7-5E31-47E3-9D88-3286E6FCE3F5}"/>
    <cellStyle name="Heading 2 3" xfId="263" xr:uid="{E0F99CA3-0E72-478A-B950-2ED90DAEF543}"/>
    <cellStyle name="Heading 2 4" xfId="399" xr:uid="{DD812764-44D0-4F12-AC22-5180137232CC}"/>
    <cellStyle name="Heading 3 2" xfId="174" xr:uid="{435E932F-7E38-4305-8B70-87FFA28A69FD}"/>
    <cellStyle name="Heading 3 3" xfId="264" xr:uid="{349DC4B2-139E-45CA-882B-27DC8B1F74B3}"/>
    <cellStyle name="Heading 3 4" xfId="400" xr:uid="{5921F5F1-1724-443C-8D67-EC747C525C38}"/>
    <cellStyle name="Heading 4 2" xfId="175" xr:uid="{99CCA781-A8C3-4765-A52F-B11004E4282D}"/>
    <cellStyle name="Heading 4 3" xfId="265" xr:uid="{0C5552E7-5C74-4A9D-9B3F-0D6199E6516D}"/>
    <cellStyle name="Heading 4 4" xfId="401" xr:uid="{644A48F9-46E2-4594-9BB4-6B69A5FD9869}"/>
    <cellStyle name="Headline" xfId="23" xr:uid="{4E6A7F3A-FFEA-49EC-B04B-868F0426E007}"/>
    <cellStyle name="Hyperlink" xfId="6" builtinId="8"/>
    <cellStyle name="Hyperlink 2" xfId="2330" xr:uid="{C2DA9739-4828-48B2-AEA0-912E532F4F7B}"/>
    <cellStyle name="Hyperlink 3" xfId="2334" xr:uid="{5C710A49-45E5-4A5E-8F2D-B9857C2E5AE1}"/>
    <cellStyle name="Hyperlink 3 2" xfId="2377" xr:uid="{7851CF05-A382-41B0-8EB6-64DBE697F183}"/>
    <cellStyle name="Input - Samorka" xfId="2335" xr:uid="{323D70C7-DDF9-48E1-A03E-3605E9D84558}"/>
    <cellStyle name="Input % - Samorka" xfId="2337" xr:uid="{F57D30DF-D948-4FFD-B454-A5DADE874A21}"/>
    <cellStyle name="Input 2" xfId="176" xr:uid="{02BB4CAA-18B8-4947-8169-C33E31386CE5}"/>
    <cellStyle name="Input 2 2" xfId="590" xr:uid="{26EB9313-10C5-4C1C-A008-35AA2675EB0B}"/>
    <cellStyle name="Input 2 2 2" xfId="805" xr:uid="{A6921FA2-906F-4869-B8A0-70D6EF03445D}"/>
    <cellStyle name="Input 2 2 2 2" xfId="943" xr:uid="{F0FD6507-D623-48EA-A3B2-7BBD5E7569D3}"/>
    <cellStyle name="Input 2 2 2 3" xfId="1781" xr:uid="{3652453D-EC2E-4901-B9EB-6BD9FDA2F0E4}"/>
    <cellStyle name="Input 2 2 2 4" xfId="2152" xr:uid="{37B110B2-865F-4597-B544-F938D84DDEFB}"/>
    <cellStyle name="Input 2 2 3" xfId="1214" xr:uid="{DE1FD80A-DDDC-4CB3-A86F-9EA95870C7BD}"/>
    <cellStyle name="Input 2 2 4" xfId="1574" xr:uid="{8A14FE64-C4CE-4308-A316-1BBD6B28F912}"/>
    <cellStyle name="Input 2 2 5" xfId="1946" xr:uid="{7AA3A06A-3A31-49F3-8DE5-1B2B38D2A8E6}"/>
    <cellStyle name="Input 2 3" xfId="694" xr:uid="{715227FC-838E-4034-A67E-B25D9AFC9E23}"/>
    <cellStyle name="Input 2 3 2" xfId="909" xr:uid="{EB1426FF-DE3F-4244-BA49-924F3C07197A}"/>
    <cellStyle name="Input 2 3 2 2" xfId="1501" xr:uid="{88EC3359-A232-420E-9A79-64A012A732D2}"/>
    <cellStyle name="Input 2 3 2 3" xfId="1885" xr:uid="{23B6AFE8-59AD-4CBD-90AE-8F846D1A774C}"/>
    <cellStyle name="Input 2 3 2 4" xfId="2256" xr:uid="{7E76F52D-0B42-40C0-ACAD-DB578D846C88}"/>
    <cellStyle name="Input 2 3 3" xfId="1124" xr:uid="{CE82636B-4CC0-4245-9D33-89702E63D6E9}"/>
    <cellStyle name="Input 2 3 4" xfId="1678" xr:uid="{11B1164C-E6B8-4ABD-9926-658031DCFF23}"/>
    <cellStyle name="Input 2 3 5" xfId="2050" xr:uid="{87170B61-1829-4204-A528-4C4637EEBA64}"/>
    <cellStyle name="Input 2 4" xfId="705" xr:uid="{03241D1C-E927-4BE4-9415-8F5FF1BF6927}"/>
    <cellStyle name="Input 2 4 2" xfId="919" xr:uid="{998A3265-592E-4D1F-A702-BC2EDF3D7340}"/>
    <cellStyle name="Input 2 4 2 2" xfId="1511" xr:uid="{D779BBAA-834C-4990-825B-2BF4B41E2131}"/>
    <cellStyle name="Input 2 4 2 3" xfId="1895" xr:uid="{DE3E021C-6F0C-4510-A446-4AA84E71A5D5}"/>
    <cellStyle name="Input 2 4 2 4" xfId="2266" xr:uid="{2A110EAA-4D26-4B96-BDB8-CB4BF6E7A039}"/>
    <cellStyle name="Input 2 4 3" xfId="1202" xr:uid="{7D5863EE-84E7-4F62-A151-1D7999AB62B3}"/>
    <cellStyle name="Input 2 4 4" xfId="1688" xr:uid="{67D3C953-8000-4D79-B212-0D6F9106BB74}"/>
    <cellStyle name="Input 2 4 5" xfId="2060" xr:uid="{309CB206-82F6-48A7-BF66-8C468C5B47F6}"/>
    <cellStyle name="Input 2 5" xfId="717" xr:uid="{9747AA2B-BD54-4A41-AEE0-3B185877BB26}"/>
    <cellStyle name="Input 2 5 2" xfId="953" xr:uid="{7A626827-F821-4941-B2A4-5BAE87A02BA8}"/>
    <cellStyle name="Input 2 5 3" xfId="1700" xr:uid="{B95BE870-82B5-4788-9E41-C47E48427BAC}"/>
    <cellStyle name="Input 2 5 4" xfId="2072" xr:uid="{299DF92C-87C4-4255-9FEE-826C03430B6E}"/>
    <cellStyle name="Input 2 6" xfId="1281" xr:uid="{DA4B9EE8-1ACF-4469-B1DB-606F8B8E5A8C}"/>
    <cellStyle name="Input 2 7" xfId="1221" xr:uid="{ED592A98-82BA-423D-A54A-68EEBB792F77}"/>
    <cellStyle name="Input 2 8" xfId="965" xr:uid="{89D49593-E4F4-47BB-A967-4A17F259C87E}"/>
    <cellStyle name="Input 3" xfId="266" xr:uid="{43FF4731-79A7-495C-BC74-6639C3C1AE8A}"/>
    <cellStyle name="Input 3 2" xfId="622" xr:uid="{A5FAECE7-8D44-4504-913F-F3D434FED0E5}"/>
    <cellStyle name="Input 3 2 2" xfId="837" xr:uid="{C2DC81A2-0F99-4D85-9D5E-334F5FE7D57A}"/>
    <cellStyle name="Input 3 2 2 2" xfId="966" xr:uid="{1EB93891-1440-4A37-8459-755E2DBEC16E}"/>
    <cellStyle name="Input 3 2 2 3" xfId="1813" xr:uid="{1C1A776E-5933-4845-AA96-0C4E2850D7B1}"/>
    <cellStyle name="Input 3 2 2 4" xfId="2184" xr:uid="{B170D50F-BA2E-4FEE-8A38-573BE3BDCC27}"/>
    <cellStyle name="Input 3 2 3" xfId="1442" xr:uid="{01E260EE-6D55-4899-A9ED-6C8F6F08BA6D}"/>
    <cellStyle name="Input 3 2 4" xfId="1606" xr:uid="{32BCB077-C077-489D-B3B7-4216AD34CB2A}"/>
    <cellStyle name="Input 3 2 5" xfId="1978" xr:uid="{5D36E590-0AF1-4F99-8CA0-1F54984EDF13}"/>
    <cellStyle name="Input 3 3" xfId="621" xr:uid="{3EC387F2-D068-4FFE-837C-16CB61090203}"/>
    <cellStyle name="Input 3 3 2" xfId="836" xr:uid="{70B8C3C2-3832-4867-AB43-066DAACF9A8E}"/>
    <cellStyle name="Input 3 3 2 2" xfId="936" xr:uid="{D02854AA-1009-4579-97D8-A085E0E3201C}"/>
    <cellStyle name="Input 3 3 2 3" xfId="1812" xr:uid="{7A031ECA-0B0B-452F-9E4E-851FA08DA32C}"/>
    <cellStyle name="Input 3 3 2 4" xfId="2183" xr:uid="{76259D73-A88C-4018-A6E5-75B482206269}"/>
    <cellStyle name="Input 3 3 3" xfId="1425" xr:uid="{F072139A-D242-47A5-A958-ECA997DB0131}"/>
    <cellStyle name="Input 3 3 4" xfId="1605" xr:uid="{C8BCA6F1-5A2E-4F6C-B711-CA2FD321151C}"/>
    <cellStyle name="Input 3 3 5" xfId="1977" xr:uid="{4770355A-A3E1-4ACA-B41E-930B7118D5F5}"/>
    <cellStyle name="Input 3 4" xfId="565" xr:uid="{F5AC3B4A-DDD7-4EA3-977D-B293CB82F0F6}"/>
    <cellStyle name="Input 3 4 2" xfId="780" xr:uid="{5B1813C9-07EA-4E60-90CF-D90D13EF3FAA}"/>
    <cellStyle name="Input 3 4 2 2" xfId="1063" xr:uid="{67AFA577-5CD7-4CB0-9DCC-A1303F9B5808}"/>
    <cellStyle name="Input 3 4 2 3" xfId="1756" xr:uid="{324FCF33-8C6C-4915-99A6-AB9EF329283D}"/>
    <cellStyle name="Input 3 4 2 4" xfId="2127" xr:uid="{BE8A5FA2-FDDF-4EE9-8DF5-383539F8809A}"/>
    <cellStyle name="Input 3 4 3" xfId="1273" xr:uid="{17E5528E-EA70-4D9D-9325-7241AC61CB53}"/>
    <cellStyle name="Input 3 4 4" xfId="1549" xr:uid="{56CDD17B-2D49-4951-807C-D99D44F3A134}"/>
    <cellStyle name="Input 3 4 5" xfId="1921" xr:uid="{E5775338-6C80-45A7-865E-A2908B53F14E}"/>
    <cellStyle name="Input 3 5" xfId="723" xr:uid="{012B5F64-6E01-4CE0-823D-4E9564C9C128}"/>
    <cellStyle name="Input 3 5 2" xfId="946" xr:uid="{44796E4B-9318-43F3-83A3-31B367F13C44}"/>
    <cellStyle name="Input 3 5 3" xfId="1706" xr:uid="{445E2C52-57C9-45E0-A804-6C02DEAE56BC}"/>
    <cellStyle name="Input 3 5 4" xfId="2078" xr:uid="{3E38E527-56A6-4F81-A6E6-1A7F34B61842}"/>
    <cellStyle name="Input 3 6" xfId="1295" xr:uid="{B7E76456-E00F-4FD5-8D39-528966F1B2F1}"/>
    <cellStyle name="Input 3 7" xfId="1058" xr:uid="{C165EAD7-47A0-4F56-9A35-B02089560E0E}"/>
    <cellStyle name="Input 3 8" xfId="1491" xr:uid="{3019EDC4-553F-4481-9E83-0633905E4CC6}"/>
    <cellStyle name="Input 4" xfId="377" xr:uid="{28166334-D440-4F76-8C54-EE083BECD179}"/>
    <cellStyle name="InputCells" xfId="31" xr:uid="{C9E75ABD-5E01-46EE-A1C0-677FCEF82AD5}"/>
    <cellStyle name="InputCells 2" xfId="177" xr:uid="{1410A3E6-BC2E-4389-93A7-183698645A5E}"/>
    <cellStyle name="InputCells 3" xfId="228" xr:uid="{76CD4677-F5E7-4BFE-8706-68107F9E3F3D}"/>
    <cellStyle name="InputCells 4" xfId="380" xr:uid="{56196B2D-21E6-413A-9006-CD56A2ED8A29}"/>
    <cellStyle name="InputCells_Bborder_1" xfId="178" xr:uid="{39E69908-81F8-4567-BBF2-BC38D2100741}"/>
    <cellStyle name="InputCells12" xfId="41" xr:uid="{896870F4-BBE4-42A2-88E3-09E04E79FA69}"/>
    <cellStyle name="InputCells12 2" xfId="179" xr:uid="{11D48D09-90A4-4FCE-86F2-7249362CABD2}"/>
    <cellStyle name="InputCells12 2 2" xfId="454" xr:uid="{257B4AE2-7399-44E2-BE42-C29545BDD8E4}"/>
    <cellStyle name="InputCells12 2 2 2" xfId="628" xr:uid="{E2AF8DAC-8108-4EA4-BEF3-B751BDCB8626}"/>
    <cellStyle name="InputCells12 2 2 2 2" xfId="843" xr:uid="{0BDEB4E8-CE5F-431D-871D-B074FA6F75CD}"/>
    <cellStyle name="InputCells12 2 2 2 2 2" xfId="956" xr:uid="{C478FAEF-6997-44E6-BE2A-AAFABD490217}"/>
    <cellStyle name="InputCells12 2 2 2 2 3" xfId="1819" xr:uid="{596197F2-CF5F-484B-9521-101CED79419C}"/>
    <cellStyle name="InputCells12 2 2 2 2 4" xfId="2190" xr:uid="{915E7D29-1DEC-4BB2-B1F6-BF70D0262CED}"/>
    <cellStyle name="InputCells12 2 2 2 3" xfId="1217" xr:uid="{C7CD450A-A0E5-4D51-BD49-90FED5D3DC81}"/>
    <cellStyle name="InputCells12 2 2 2 4" xfId="1612" xr:uid="{E6A01508-908C-429E-BE99-D8F586E5BBDD}"/>
    <cellStyle name="InputCells12 2 2 2 5" xfId="1984" xr:uid="{9A5AA16A-EA3E-4A14-9BF1-F6B4F345C4CC}"/>
    <cellStyle name="InputCells12 2 2 3" xfId="753" xr:uid="{BCC4D386-99F9-4826-92C7-7AB58C3BE3B3}"/>
    <cellStyle name="InputCells12 2 2 3 2" xfId="1488" xr:uid="{24BA5089-3D37-4A73-83DD-274CD31088C6}"/>
    <cellStyle name="InputCells12 2 2 3 3" xfId="1729" xr:uid="{332AEA36-E720-40DE-9A4D-4520C0FE00E1}"/>
    <cellStyle name="InputCells12 2 2 3 4" xfId="2100" xr:uid="{DF9D2034-F52F-4D9A-A300-ABC6CA585B70}"/>
    <cellStyle name="InputCells12 2 3" xfId="313" xr:uid="{7B89BEEF-A462-4806-B204-2C616C26FFD6}"/>
    <cellStyle name="InputCells12 2 3 2" xfId="651" xr:uid="{F423AF4F-EC61-4038-B487-929235F58EE6}"/>
    <cellStyle name="InputCells12 2 3 2 2" xfId="866" xr:uid="{3C757839-718E-43F0-B947-BCBBD47CF881}"/>
    <cellStyle name="InputCells12 2 3 2 2 2" xfId="1009" xr:uid="{25567E71-3CB4-4029-8947-26146ABD529A}"/>
    <cellStyle name="InputCells12 2 3 2 2 3" xfId="1842" xr:uid="{9B4AC69F-F98E-4A5E-B7CB-0861DD0E1BA1}"/>
    <cellStyle name="InputCells12 2 3 2 2 4" xfId="2213" xr:uid="{937DEFF7-CA16-4F40-AB44-C77C7167C717}"/>
    <cellStyle name="InputCells12 2 3 2 3" xfId="1328" xr:uid="{5F21D59D-DEAF-4286-9DA5-2680BE50B18B}"/>
    <cellStyle name="InputCells12 2 3 2 4" xfId="1635" xr:uid="{4A86DC3A-8BB0-41A7-B30F-C01ED7B07D08}"/>
    <cellStyle name="InputCells12 2 3 2 5" xfId="2007" xr:uid="{F02279A3-29C2-44F9-A964-E506C768E005}"/>
    <cellStyle name="InputCells12 2 3 3" xfId="574" xr:uid="{5CA975ED-798E-48CD-9C37-7C748C640048}"/>
    <cellStyle name="InputCells12 2 3 3 2" xfId="789" xr:uid="{131E313A-E946-4250-B7C4-417DA65164CA}"/>
    <cellStyle name="InputCells12 2 3 3 2 2" xfId="1256" xr:uid="{4123743A-1071-4195-BFD0-658B224869D0}"/>
    <cellStyle name="InputCells12 2 3 3 2 3" xfId="1765" xr:uid="{473D4EFA-CFE9-4D57-B616-F47552CE4017}"/>
    <cellStyle name="InputCells12 2 3 3 2 4" xfId="2136" xr:uid="{05805905-B997-472F-B0BF-48CB37837B5C}"/>
    <cellStyle name="InputCells12 2 3 3 3" xfId="933" xr:uid="{55F37C44-FAD9-4766-ABF1-0F1AB6A4D9AC}"/>
    <cellStyle name="InputCells12 2 3 3 4" xfId="1558" xr:uid="{82A3097A-B221-4E05-A7DA-75AD68D34910}"/>
    <cellStyle name="InputCells12 2 3 3 5" xfId="1930" xr:uid="{B914BE9A-FA97-4341-9D6C-D3F4BA2067CD}"/>
    <cellStyle name="InputCells12 2 3 4" xfId="690" xr:uid="{6738DB5F-8745-4CA6-8041-AE315BED73BD}"/>
    <cellStyle name="InputCells12 2 3 4 2" xfId="905" xr:uid="{0C7BA958-CDE8-4356-9FA1-9BA8E181BAB0}"/>
    <cellStyle name="InputCells12 2 3 4 2 2" xfId="1497" xr:uid="{2B0B38DE-9F2B-4EAF-8E58-F2CAC04089C7}"/>
    <cellStyle name="InputCells12 2 3 4 2 3" xfId="1881" xr:uid="{5BDA387B-879D-4B98-8AFD-CA3B0DD3D493}"/>
    <cellStyle name="InputCells12 2 3 4 2 4" xfId="2252" xr:uid="{DB3197CF-F6DB-44C7-BBED-60137780A6F6}"/>
    <cellStyle name="InputCells12 2 3 4 3" xfId="1206" xr:uid="{FC9C0179-E391-4B22-BB4A-8B63616D4A9A}"/>
    <cellStyle name="InputCells12 2 3 4 4" xfId="1674" xr:uid="{6296467A-F160-459B-8060-59EF5BFAAAAA}"/>
    <cellStyle name="InputCells12 2 3 4 5" xfId="2046" xr:uid="{2CBACC0B-7F40-4D55-843A-330941B7C493}"/>
    <cellStyle name="InputCells12 2 3 5" xfId="958" xr:uid="{DBE9A905-6661-4665-A955-CA5834ED7A88}"/>
    <cellStyle name="InputCells12 2 3 6" xfId="1092" xr:uid="{E73F1328-0341-4EFD-8F77-B8E199BA0BD0}"/>
    <cellStyle name="InputCells12 2 3 7" xfId="1494" xr:uid="{C2489E1E-AB38-44FC-A8DE-A0E3EFE07540}"/>
    <cellStyle name="InputCells12 3" xfId="453" xr:uid="{67458ADD-DE73-4B88-9815-F608FD812554}"/>
    <cellStyle name="InputCells12 3 2" xfId="558" xr:uid="{B6A037C9-3996-45F8-9D9B-1B517FD396DA}"/>
    <cellStyle name="InputCells12 3 2 2" xfId="773" xr:uid="{4DAD8B51-80BB-4078-9052-A7C00CB9CF9E}"/>
    <cellStyle name="InputCells12 3 2 2 2" xfId="70" xr:uid="{3B122BAA-0C7E-43B7-84CF-C9408AA48703}"/>
    <cellStyle name="InputCells12 3 2 2 3" xfId="1749" xr:uid="{9814D024-050D-49C7-A71A-FAC9EDC3FB01}"/>
    <cellStyle name="InputCells12 3 2 2 4" xfId="2120" xr:uid="{960FCA5F-FFA9-4C1C-9422-9C2CFFD9B6F1}"/>
    <cellStyle name="InputCells12 3 2 3" xfId="1293" xr:uid="{8520BDEC-3D51-4A24-9EAF-26FDC9DDE294}"/>
    <cellStyle name="InputCells12 3 2 4" xfId="1542" xr:uid="{CCED291E-EFF7-4686-8D7C-3993ED5C5D42}"/>
    <cellStyle name="InputCells12 3 2 5" xfId="1914" xr:uid="{EE3B41F9-B84E-4916-A280-B3D17D5937FA}"/>
    <cellStyle name="InputCells12 3 3" xfId="752" xr:uid="{3BF638C8-A8FE-45E9-BDF7-A0C8498577A8}"/>
    <cellStyle name="InputCells12 3 3 2" xfId="1290" xr:uid="{5B1440B9-0A1C-4117-A48B-53F21286BC4F}"/>
    <cellStyle name="InputCells12 3 3 3" xfId="1728" xr:uid="{61B139DA-E409-4541-AF6F-345CCD986853}"/>
    <cellStyle name="InputCells12 3 3 4" xfId="2099" xr:uid="{71D53671-D719-4626-A183-7EA9F2CE2784}"/>
    <cellStyle name="InputCells12 4" xfId="312" xr:uid="{DC0BC536-9AA6-4B82-8F75-7C11808B62C1}"/>
    <cellStyle name="InputCells12 4 2" xfId="650" xr:uid="{A2E5A0ED-4EE0-466A-BAD5-3A78125D1757}"/>
    <cellStyle name="InputCells12 4 2 2" xfId="865" xr:uid="{75DAB98B-66B3-46AE-B1BE-9F4E2D78547F}"/>
    <cellStyle name="InputCells12 4 2 2 2" xfId="1466" xr:uid="{66CF94C2-1EF4-4FC7-8CBE-B506412F8F5B}"/>
    <cellStyle name="InputCells12 4 2 2 3" xfId="1841" xr:uid="{BD317E07-802C-4B41-ACCF-6376BB1FEDD9}"/>
    <cellStyle name="InputCells12 4 2 2 4" xfId="2212" xr:uid="{9F366C62-100B-4E24-98AE-D4CF86C7F99A}"/>
    <cellStyle name="InputCells12 4 2 3" xfId="1200" xr:uid="{492FE3FE-1BF9-4170-B3C1-AD9203C69558}"/>
    <cellStyle name="InputCells12 4 2 4" xfId="1634" xr:uid="{727B1C6E-D641-4AFB-8C38-3E6DC1EE0EFE}"/>
    <cellStyle name="InputCells12 4 2 5" xfId="2006" xr:uid="{0B89BCCE-D576-40F8-9598-B7AC86B54FA8}"/>
    <cellStyle name="InputCells12 4 3" xfId="575" xr:uid="{AD8A5035-8CA3-435D-88D5-534BC543D9F7}"/>
    <cellStyle name="InputCells12 4 3 2" xfId="790" xr:uid="{6B9894B2-CC95-4C69-8EC8-BAD82A12518E}"/>
    <cellStyle name="InputCells12 4 3 2 2" xfId="1065" xr:uid="{81B3E0B5-5925-46C9-8F33-84B281D6AB08}"/>
    <cellStyle name="InputCells12 4 3 2 3" xfId="1766" xr:uid="{A66CC763-D251-415E-858B-1D7FE9F349DA}"/>
    <cellStyle name="InputCells12 4 3 2 4" xfId="2137" xr:uid="{0EFADBE4-192F-487E-A7E7-076B1AC78925}"/>
    <cellStyle name="InputCells12 4 3 3" xfId="1127" xr:uid="{C4E6C86F-B165-4E6D-BBAB-3B38AD86E630}"/>
    <cellStyle name="InputCells12 4 3 4" xfId="1559" xr:uid="{73ACADC8-D0D9-4455-8D37-B8A5CF8185A0}"/>
    <cellStyle name="InputCells12 4 3 5" xfId="1931" xr:uid="{90B6BEE8-F0A6-4DE3-9983-DF145FD12E2A}"/>
    <cellStyle name="InputCells12 4 4" xfId="549" xr:uid="{D3AAC131-F680-4A9D-B0A5-D0B461B95051}"/>
    <cellStyle name="InputCells12 4 4 2" xfId="764" xr:uid="{6CC00366-9384-4EDF-885F-E136B0970832}"/>
    <cellStyle name="InputCells12 4 4 2 2" xfId="1454" xr:uid="{DAAC4D89-F66F-43B1-8CD2-13D5452837BE}"/>
    <cellStyle name="InputCells12 4 4 2 3" xfId="1740" xr:uid="{E156D79A-6930-4A37-A07F-AEF98CC22EE6}"/>
    <cellStyle name="InputCells12 4 4 2 4" xfId="2111" xr:uid="{7A23FD56-723D-4402-A521-296EEDCD93A6}"/>
    <cellStyle name="InputCells12 4 4 3" xfId="1254" xr:uid="{B628576D-E8DD-467A-90F0-033170178418}"/>
    <cellStyle name="InputCells12 4 4 4" xfId="1533" xr:uid="{2D5EAE7A-86BB-4D59-A40F-94F84C13D133}"/>
    <cellStyle name="InputCells12 4 4 5" xfId="1905" xr:uid="{D2623368-C2FF-4BCC-9E2D-E15922F5827C}"/>
    <cellStyle name="InputCells12 4 5" xfId="1192" xr:uid="{FEF92833-C8A9-4EA3-A14C-E0D9944AB805}"/>
    <cellStyle name="InputCells12 4 6" xfId="1468" xr:uid="{AEF58EA8-E08E-4A19-936B-A202AF4D4334}"/>
    <cellStyle name="InputCells12 4 7" xfId="1026" xr:uid="{DD1CE934-7DFE-43AB-A4D1-0629BFCCD7AF}"/>
    <cellStyle name="InputCells12 5" xfId="107" xr:uid="{07D09AD4-7F30-4DE0-B23A-B58DBFB2C030}"/>
    <cellStyle name="InputCells12_BBorder" xfId="47" xr:uid="{51483724-08F1-45C7-AA1C-2BBC1563F0C2}"/>
    <cellStyle name="IntCells" xfId="180" xr:uid="{2AD9DF71-560C-4C7D-A1E4-E350B88D4BAE}"/>
    <cellStyle name="KP_thin_border_dark_grey" xfId="57" xr:uid="{FDCDA633-CBA9-4B99-943F-53A6047F00E9}"/>
    <cellStyle name="Link Currency (0)" xfId="2304" xr:uid="{35558C9D-E1E6-4883-B28F-599C8A8EEDEE}"/>
    <cellStyle name="Link Currency (2)" xfId="2305" xr:uid="{EF20BFDF-B5C1-487C-A442-6A9C12BD080E}"/>
    <cellStyle name="Link Units (0)" xfId="2306" xr:uid="{FF893AD0-D16D-419F-B7CD-72BBFE7CF35A}"/>
    <cellStyle name="Link Units (1)" xfId="2307" xr:uid="{93B886E9-13E3-469C-BEC5-D4CF7E7FED62}"/>
    <cellStyle name="Link Units (2)" xfId="2308" xr:uid="{18876424-C2C5-480F-8C7E-117DEEC5C3A8}"/>
    <cellStyle name="Linked Cell 2" xfId="181" xr:uid="{4F50E367-F046-4170-8FA9-C90CC200F796}"/>
    <cellStyle name="Linked Cell 3" xfId="267" xr:uid="{A36A9D86-B71E-461D-AA43-9878383AD292}"/>
    <cellStyle name="Linked Cell 4" xfId="402" xr:uid="{F0491B2C-9EDE-4BE4-AB3C-BFC69312AAB8}"/>
    <cellStyle name="Neutral 2" xfId="182" xr:uid="{D3C9B49E-5C9D-4E04-B2BD-A949456B7ABC}"/>
    <cellStyle name="Neutral 3" xfId="268" xr:uid="{CC18D9E5-BD26-414A-B6D6-53A46C6046D3}"/>
    <cellStyle name="Normaali 2" xfId="183" xr:uid="{FC840B41-E2F3-4CE7-BD5F-D83C07B00293}"/>
    <cellStyle name="Normaali 2 2" xfId="184" xr:uid="{F75F3D33-CBCC-4295-B2A0-35D5A326D789}"/>
    <cellStyle name="Normal" xfId="0" builtinId="0"/>
    <cellStyle name="Normal 10" xfId="405" xr:uid="{37D86D01-0CEB-472B-A923-BF3D0828545A}"/>
    <cellStyle name="Normal 10 2" xfId="474" xr:uid="{61033AE3-8073-453F-92FD-2543C439FEB1}"/>
    <cellStyle name="Normal 10 3" xfId="2433" xr:uid="{D01C566C-EBD5-4912-8454-777F7D2AD48D}"/>
    <cellStyle name="Normal 11" xfId="433" xr:uid="{A879DB65-388D-4440-8FC7-64868E793AA8}"/>
    <cellStyle name="Normal 11 2" xfId="475" xr:uid="{BAC8B302-AEB0-4885-8448-00873B10E350}"/>
    <cellStyle name="Normal 11 3" xfId="2428" xr:uid="{BE207D2D-8B0A-4791-A36D-33A6738F4EA6}"/>
    <cellStyle name="Normal 12" xfId="544" xr:uid="{06FCB86F-0825-46DB-8D21-E218BF92B5DB}"/>
    <cellStyle name="Normal 12 2" xfId="704" xr:uid="{00F4CE92-C824-4B1E-878E-65E1580FF9F3}"/>
    <cellStyle name="Normal 13" xfId="14" xr:uid="{5802F7DC-BA80-4AE6-80F2-A2974C974649}"/>
    <cellStyle name="Normal 14" xfId="21" xr:uid="{E9D030D3-EB0E-470B-9CB6-F0C4083CF09D}"/>
    <cellStyle name="Normal 15" xfId="2272" xr:uid="{B746D37A-CC82-479B-B571-6F1B94400A7F}"/>
    <cellStyle name="Normal 16" xfId="2275" xr:uid="{B0335FD5-F729-4415-9EA5-57397033B7F8}"/>
    <cellStyle name="Normal 17" xfId="2276" xr:uid="{675FEAA4-1757-4911-876A-AD6F3E672DE7}"/>
    <cellStyle name="Normal 18" xfId="2435" xr:uid="{D93C0B50-61FA-4216-A33B-8206C6D21108}"/>
    <cellStyle name="Normal 19" xfId="2437" xr:uid="{4B699917-A2CB-414B-934A-69432CB3EEE1}"/>
    <cellStyle name="Normal 2" xfId="3" xr:uid="{00000000-0005-0000-0000-000031000000}"/>
    <cellStyle name="Normal 2 2" xfId="19" xr:uid="{00000000-0005-0000-0000-000001000000}"/>
    <cellStyle name="Normal 2 2 2" xfId="186" xr:uid="{3D551BD1-CB67-491D-AD82-A98FDB9AAF6A}"/>
    <cellStyle name="Normal 2 2 2 2" xfId="2419" xr:uid="{6273243D-39A8-414E-84C5-F911265AD758}"/>
    <cellStyle name="Normal 2 2 2 3" xfId="2364" xr:uid="{47D9136C-18EB-4792-A34B-7585624EEEDF}"/>
    <cellStyle name="Normal 2 2 3" xfId="2370" xr:uid="{4F50F5D3-40AA-457A-8094-57E67DA09C68}"/>
    <cellStyle name="Normal 2 2 4" xfId="2321" xr:uid="{80E844AC-334F-4CEE-8234-29C04326FE16}"/>
    <cellStyle name="Normal 2 3" xfId="187" xr:uid="{6C03328F-1FE0-4DBC-A3E1-7A094582E446}"/>
    <cellStyle name="Normal 2 3 2" xfId="455" xr:uid="{F503B6AC-B717-4478-9E34-EBE25DA55199}"/>
    <cellStyle name="Normal 2 3 3" xfId="2279" xr:uid="{45644F1F-2E3F-44F9-A409-DC9D943527E9}"/>
    <cellStyle name="Normal 2 4" xfId="62" xr:uid="{44E6A0B3-711D-43ED-ACBE-1DD48CBBF213}"/>
    <cellStyle name="Normal 2 4 2" xfId="2378" xr:uid="{A442A2F5-3C35-49FA-9311-EA8A8FE63FCD}"/>
    <cellStyle name="Normal 2 4 3" xfId="2339" xr:uid="{C25055B8-B380-4AF3-9A2C-81613CC44165}"/>
    <cellStyle name="Normal 2 5" xfId="2325" xr:uid="{DBC13AEB-C9A0-4BA1-8155-D99B751335EC}"/>
    <cellStyle name="Normal 2 5 2" xfId="2416" xr:uid="{A48B71CA-EEF6-4A30-93BE-646738DED087}"/>
    <cellStyle name="Normal 2 5 3" xfId="2373" xr:uid="{94FCA087-B52C-455D-B1D6-5AD207823486}"/>
    <cellStyle name="Normal 2 5 4" xfId="2359" xr:uid="{5AB44D04-2FD5-4048-A080-372502CF9713}"/>
    <cellStyle name="Normal 2 6" xfId="2369" xr:uid="{620C4291-91D3-482F-9EFA-D52FC9712FEA}"/>
    <cellStyle name="Normal 2 7" xfId="2309" xr:uid="{A4AFC67C-E2E9-4D37-A34B-43E046828F02}"/>
    <cellStyle name="Normal 20" xfId="2438" xr:uid="{8124C68D-79AD-4B61-B5CF-53507A837FF4}"/>
    <cellStyle name="Normal 3" xfId="10" xr:uid="{00000000-0005-0000-0000-00003A000000}"/>
    <cellStyle name="Normal 3 2" xfId="188" xr:uid="{D9CA7D9A-014D-4CA2-8F6E-6020B3A3A4E8}"/>
    <cellStyle name="Normal 3 2 2" xfId="63" xr:uid="{2BBD88CA-9682-4EBA-AD8E-CDF2C112FAA2}"/>
    <cellStyle name="Normal 3 2 2 2" xfId="2417" xr:uid="{5FB828C3-1E6B-4E63-9E37-41E1CE30FE48}"/>
    <cellStyle name="Normal 3 2 3" xfId="2374" xr:uid="{78739191-7906-407D-9C5C-D660A5AC7126}"/>
    <cellStyle name="Normal 3 2 4" xfId="2360" xr:uid="{8A787B02-DEAB-4DE9-B1C0-3AA6FD0FA2D6}"/>
    <cellStyle name="Normal 3 2 5" xfId="2328" xr:uid="{08B4F6E7-A26B-44B1-A761-20DC980CD664}"/>
    <cellStyle name="Normal 3 3" xfId="229" xr:uid="{21FF3234-79F6-44BF-B349-F527B90AA3B2}"/>
    <cellStyle name="Normal 3 3 2" xfId="2327" xr:uid="{60955D83-816F-453B-A7B0-BFA267EBB295}"/>
    <cellStyle name="Normal 3 4" xfId="391" xr:uid="{920D39F5-8FC5-4D8F-AF18-6A8AF19DB4BE}"/>
    <cellStyle name="Normal 3 5" xfId="58" xr:uid="{89DBF62C-448E-4104-8120-511209AA5491}"/>
    <cellStyle name="Normal 3 6" xfId="2274" xr:uid="{061A4450-8513-44EC-B41C-EDC20BB16FBC}"/>
    <cellStyle name="Normal 3 7" xfId="2310" xr:uid="{8067D77F-5C96-4AEC-AB2D-6B6789CA403D}"/>
    <cellStyle name="Normal 4" xfId="5" xr:uid="{00000000-0005-0000-0000-000001000000}"/>
    <cellStyle name="Normal 4 2" xfId="190" xr:uid="{50E19763-8BE4-489D-9FE0-B639863C78A9}"/>
    <cellStyle name="Normal 4 2 2" xfId="191" xr:uid="{E98BA211-74D8-43E9-9330-815B447EB480}"/>
    <cellStyle name="Normal 4 2 3" xfId="456" xr:uid="{8B45929E-6F63-44CF-BBED-831E0992BE37}"/>
    <cellStyle name="Normal 4 2 3 2" xfId="2379" xr:uid="{5A9F46B4-BBD4-4EDD-995A-EFA29222218E}"/>
    <cellStyle name="Normal 4 2 4" xfId="2363" xr:uid="{521E05CB-DB19-4EE3-864E-99DC2B77E957}"/>
    <cellStyle name="Normal 4 2 5" xfId="2340" xr:uid="{01EC7198-4A74-482D-9D00-B736FD411238}"/>
    <cellStyle name="Normal 4 3" xfId="230" xr:uid="{344F66D3-0F30-4568-9697-9A96171A8FB5}"/>
    <cellStyle name="Normal 4 3 2" xfId="457" xr:uid="{89B4481A-197C-4DE3-9480-6C71990514F9}"/>
    <cellStyle name="Normal 4 4" xfId="189" xr:uid="{3B44C35A-586A-46EE-9659-94907BBB2A9F}"/>
    <cellStyle name="Normal 5" xfId="17" xr:uid="{00000000-0005-0000-0000-00003E000000}"/>
    <cellStyle name="Normal 5 2" xfId="323" xr:uid="{BF98E91E-7281-44BB-A50C-6574638157B4}"/>
    <cellStyle name="Normal 5 2 2" xfId="330" xr:uid="{AA6AABD6-8839-47FF-A4E3-FA0695CC6901}"/>
    <cellStyle name="Normal 5 2 2 2" xfId="336" xr:uid="{B0E82FD7-EC55-41A1-B0BC-AD350B72FA35}"/>
    <cellStyle name="Normal 5 2 2 2 2" xfId="351" xr:uid="{CBD8266F-120D-4C7F-BCCB-8712BA0D03E1}"/>
    <cellStyle name="Normal 5 2 2 2 2 2" xfId="480" xr:uid="{BB182075-FD67-43FC-BA1C-6BE551F27FAF}"/>
    <cellStyle name="Normal 5 2 2 2 3" xfId="479" xr:uid="{DDBA820F-0A54-41E8-8A18-ACEC342E847E}"/>
    <cellStyle name="Normal 5 2 2 3" xfId="350" xr:uid="{7A48335E-7E87-453B-BE91-39A222241BFD}"/>
    <cellStyle name="Normal 5 2 2 3 2" xfId="481" xr:uid="{996851FA-9F43-4C5E-9094-2EFEE775E09F}"/>
    <cellStyle name="Normal 5 2 2 4" xfId="478" xr:uid="{FC99F16F-6F13-4E60-86A6-31D60344C7A1}"/>
    <cellStyle name="Normal 5 2 3" xfId="335" xr:uid="{E272AFAF-89C1-4FF8-A364-14986AB298B8}"/>
    <cellStyle name="Normal 5 2 3 2" xfId="352" xr:uid="{FE3E5DED-07AD-498E-9428-CDCEB94A69CC}"/>
    <cellStyle name="Normal 5 2 3 2 2" xfId="483" xr:uid="{68842E24-CE17-4F90-A0A1-AD2724D97B06}"/>
    <cellStyle name="Normal 5 2 3 3" xfId="482" xr:uid="{3831FDB2-4C5A-48AA-8BC1-41EC1CA47A93}"/>
    <cellStyle name="Normal 5 2 4" xfId="349" xr:uid="{98F026AE-5C21-4A5D-816B-A9D5514AF03B}"/>
    <cellStyle name="Normal 5 2 4 2" xfId="484" xr:uid="{6F87242E-2E15-46C9-819D-B294E7EC214C}"/>
    <cellStyle name="Normal 5 2 5" xfId="458" xr:uid="{3014D8A5-41CA-48DB-8F7B-25410BF5893E}"/>
    <cellStyle name="Normal 5 2 5 2" xfId="485" xr:uid="{6A96A892-2FF7-474A-A388-9751F0D8973C}"/>
    <cellStyle name="Normal 5 2 6" xfId="477" xr:uid="{3C710CA1-9B10-4E08-8E1E-6EE5B637523D}"/>
    <cellStyle name="Normal 5 3" xfId="327" xr:uid="{B0F66C31-5510-446B-8BD7-6AA622D1CD07}"/>
    <cellStyle name="Normal 5 3 2" xfId="337" xr:uid="{E8B6C88E-1083-4B92-92E9-CF782998E871}"/>
    <cellStyle name="Normal 5 3 2 2" xfId="354" xr:uid="{8E6BD8F0-5725-4B28-B4BD-DB922599B31F}"/>
    <cellStyle name="Normal 5 3 2 2 2" xfId="488" xr:uid="{B1D05E39-EEB2-48FF-A9B9-148BC3E6B023}"/>
    <cellStyle name="Normal 5 3 2 3" xfId="487" xr:uid="{1842949B-C0CA-4650-9020-BE8EB0D42AB7}"/>
    <cellStyle name="Normal 5 3 3" xfId="353" xr:uid="{FEC4A586-0DD0-4651-BAE6-077879A49ACC}"/>
    <cellStyle name="Normal 5 3 3 2" xfId="489" xr:uid="{AEB2FCD9-CCD3-42F9-8D4F-11C167552A8A}"/>
    <cellStyle name="Normal 5 3 4" xfId="486" xr:uid="{CFBBC070-CF35-4AA7-A9D2-62EFBCE65C78}"/>
    <cellStyle name="Normal 5 4" xfId="334" xr:uid="{46FD3274-E2B1-4B9D-A4CE-834A660A1295}"/>
    <cellStyle name="Normal 5 4 2" xfId="355" xr:uid="{D9AC1D42-F019-48CF-B544-829D6AFAB8AE}"/>
    <cellStyle name="Normal 5 4 2 2" xfId="491" xr:uid="{0EEE6DD0-8A01-4121-AF35-2C002915EAC9}"/>
    <cellStyle name="Normal 5 4 3" xfId="490" xr:uid="{D8524C56-692E-414B-A34C-D328561CAECF}"/>
    <cellStyle name="Normal 5 5" xfId="348" xr:uid="{800563B5-42DD-4452-8EF1-D6EE6A7ACB52}"/>
    <cellStyle name="Normal 5 5 2" xfId="492" xr:uid="{4A73B4E2-6CF1-4297-8666-CDEFA1A888F7}"/>
    <cellStyle name="Normal 5 6" xfId="392" xr:uid="{AB5B2FBA-EC7A-4A54-A4A5-214247D76F47}"/>
    <cellStyle name="Normal 5 7" xfId="476" xr:uid="{336A3C8B-01E9-4E5F-B295-E2413E64A730}"/>
    <cellStyle name="Normal 5 8" xfId="314" xr:uid="{91B77F41-235A-4A87-930F-92867119A32A}"/>
    <cellStyle name="Normal 5 9" xfId="192" xr:uid="{7AE0033B-CA42-4F06-BEA8-34406B791584}"/>
    <cellStyle name="Normal 6" xfId="193" xr:uid="{83715A31-BB48-479B-AF00-64855A39EB31}"/>
    <cellStyle name="Normal 6 10" xfId="459" xr:uid="{FF30E301-4F41-4CD7-8F46-6291E83EFF28}"/>
    <cellStyle name="Normal 6 10 2" xfId="494" xr:uid="{3A00CF9D-78F3-40C1-88F1-1D50F6292387}"/>
    <cellStyle name="Normal 6 11" xfId="493" xr:uid="{9366451E-6E1A-404B-9195-209E6683A5A3}"/>
    <cellStyle name="Normal 6 12" xfId="2322" xr:uid="{D8E103CD-A3B2-4F4B-AEEB-C78C5C2BC066}"/>
    <cellStyle name="Normal 6 2" xfId="324" xr:uid="{0F8CF2FD-C2C1-45BD-AC04-48DB184B9B24}"/>
    <cellStyle name="Normal 6 2 2" xfId="331" xr:uid="{E6B21832-998D-47E1-9DA9-389D52020075}"/>
    <cellStyle name="Normal 6 2 2 2" xfId="340" xr:uid="{62B934B2-61F4-4FC2-B8CB-6C410B2F0E54}"/>
    <cellStyle name="Normal 6 2 2 2 2" xfId="359" xr:uid="{5EFA2A4A-0608-4B4E-B48C-B85BC8A11242}"/>
    <cellStyle name="Normal 6 2 2 2 2 2" xfId="498" xr:uid="{2526E74E-0FD4-46C1-B4D0-F73E466E30CD}"/>
    <cellStyle name="Normal 6 2 2 2 3" xfId="497" xr:uid="{CAC46484-0B0D-4E48-AB18-CDC2EB4B72E9}"/>
    <cellStyle name="Normal 6 2 2 3" xfId="358" xr:uid="{4CC89ABB-E0DB-4C6E-AB8C-EB81158BA979}"/>
    <cellStyle name="Normal 6 2 2 3 2" xfId="499" xr:uid="{38A61BE0-7444-46B9-86F4-5C64B76F7EF5}"/>
    <cellStyle name="Normal 6 2 2 4" xfId="496" xr:uid="{BF039F86-CC8C-470C-9C4C-2EC7EEBBB7B7}"/>
    <cellStyle name="Normal 6 2 2 5" xfId="2376" xr:uid="{ACD81C7F-1DC8-4DB0-8B9A-87B996A0FA07}"/>
    <cellStyle name="Normal 6 2 3" xfId="339" xr:uid="{9C4C3475-7324-481A-9E43-F27C47F9FB61}"/>
    <cellStyle name="Normal 6 2 3 2" xfId="360" xr:uid="{8B0C957A-AA7F-41C3-A4DC-5624609132F2}"/>
    <cellStyle name="Normal 6 2 3 2 2" xfId="501" xr:uid="{50B8E1A9-AEDF-4F6E-B2A0-9FDD1F33F060}"/>
    <cellStyle name="Normal 6 2 3 3" xfId="500" xr:uid="{63D4B534-40FF-4063-8AA6-9243C7DC2721}"/>
    <cellStyle name="Normal 6 2 4" xfId="357" xr:uid="{C30E4F84-8C8C-4E14-8AF8-D5985C7DAC79}"/>
    <cellStyle name="Normal 6 2 4 2" xfId="502" xr:uid="{49823BA2-F996-4A1E-B03A-07EB0C7B2A3C}"/>
    <cellStyle name="Normal 6 2 5" xfId="460" xr:uid="{677A6A25-8BCE-4965-865E-3881A77737D9}"/>
    <cellStyle name="Normal 6 2 5 2" xfId="503" xr:uid="{93435FB9-1D5A-43ED-AB59-39BAE6EB7D10}"/>
    <cellStyle name="Normal 6 2 6" xfId="495" xr:uid="{0166D914-3778-4BA2-8445-90E59CCCE67F}"/>
    <cellStyle name="Normal 6 2 7" xfId="2333" xr:uid="{C354E9BC-BB7A-4C9C-A5AE-7974A9E5ACB7}"/>
    <cellStyle name="Normal 6 3" xfId="326" xr:uid="{83BBBFF3-3707-4F46-9ADA-C3F5716A9E34}"/>
    <cellStyle name="Normal 6 3 2" xfId="333" xr:uid="{49749E1F-8477-44F8-B8C8-C6EA381CD105}"/>
    <cellStyle name="Normal 6 3 2 2" xfId="342" xr:uid="{F88562B8-549B-4330-A23A-7166089C7066}"/>
    <cellStyle name="Normal 6 3 2 2 2" xfId="363" xr:uid="{A39F79EA-9318-4F68-8BF4-3484646E0A2F}"/>
    <cellStyle name="Normal 6 3 2 2 2 2" xfId="507" xr:uid="{F5BCB598-EE38-4722-9024-0835D1A9BD97}"/>
    <cellStyle name="Normal 6 3 2 2 3" xfId="506" xr:uid="{8B825886-B4D5-4F6F-9D73-8711CA69E20B}"/>
    <cellStyle name="Normal 6 3 2 3" xfId="362" xr:uid="{95077C08-7A05-4123-AC57-4FE76A040367}"/>
    <cellStyle name="Normal 6 3 2 3 2" xfId="508" xr:uid="{490780DA-CF8F-4A24-A214-BEC992460B70}"/>
    <cellStyle name="Normal 6 3 2 4" xfId="505" xr:uid="{7E9B9C60-FC8F-4EBA-909F-692283398CC6}"/>
    <cellStyle name="Normal 6 3 3" xfId="341" xr:uid="{CFE7B854-2C79-407F-841E-F7B151E7FB0D}"/>
    <cellStyle name="Normal 6 3 3 2" xfId="364" xr:uid="{475BACBE-DBD9-4061-A910-4D2941308F68}"/>
    <cellStyle name="Normal 6 3 3 2 2" xfId="510" xr:uid="{6C01ADD8-600B-4F6B-ABB0-13991394C6F2}"/>
    <cellStyle name="Normal 6 3 3 3" xfId="509" xr:uid="{368CDCAF-FAD3-4FC0-BD23-072AEB4DBD08}"/>
    <cellStyle name="Normal 6 3 4" xfId="361" xr:uid="{F5704403-13C4-482A-810D-22AD5B687A57}"/>
    <cellStyle name="Normal 6 3 4 2" xfId="511" xr:uid="{ABFDAF5E-A320-4B3B-B5F8-5F81B8407474}"/>
    <cellStyle name="Normal 6 3 5" xfId="504" xr:uid="{33C6DF31-F5E3-4C31-BE1A-2C7C088039EC}"/>
    <cellStyle name="Normal 6 3 6" xfId="2326" xr:uid="{0C5DCF0F-A265-42A9-B2BB-775796DDA299}"/>
    <cellStyle name="Normal 6 4" xfId="328" xr:uid="{79BE38BF-EE22-4679-9F0E-CE4122E146DB}"/>
    <cellStyle name="Normal 6 4 2" xfId="343" xr:uid="{9E41D3CD-C32F-48E9-B057-490891383A20}"/>
    <cellStyle name="Normal 6 4 2 2" xfId="366" xr:uid="{BF83BB7F-C8A1-45FD-82E8-E65E27CF73A6}"/>
    <cellStyle name="Normal 6 4 2 2 2" xfId="514" xr:uid="{01362A32-0447-4078-9AAF-1FFB2B698020}"/>
    <cellStyle name="Normal 6 4 2 3" xfId="513" xr:uid="{52C864CF-BACE-46FB-BCC5-5E384C8DD1D0}"/>
    <cellStyle name="Normal 6 4 3" xfId="365" xr:uid="{D4CB1057-C4C9-4550-94C2-436840EF4F4F}"/>
    <cellStyle name="Normal 6 4 3 2" xfId="515" xr:uid="{4D132211-4DD8-449C-988E-7AF2B888D725}"/>
    <cellStyle name="Normal 6 4 4" xfId="512" xr:uid="{54057059-DCB4-4D85-97BA-F95D1B9C484A}"/>
    <cellStyle name="Normal 6 4 5" xfId="2371" xr:uid="{5ABA8F90-EC12-4DEA-B4BD-668CC5FB74EA}"/>
    <cellStyle name="Normal 6 5" xfId="338" xr:uid="{BD3DAED3-1535-4E27-B2E2-D8E425E898F8}"/>
    <cellStyle name="Normal 6 5 2" xfId="367" xr:uid="{AA6BF539-FEF6-453A-B8C4-CE318138ED4F}"/>
    <cellStyle name="Normal 6 5 2 2" xfId="517" xr:uid="{2C1B73C0-5976-4FF2-8254-164ECE01156A}"/>
    <cellStyle name="Normal 6 5 3" xfId="516" xr:uid="{5538CC15-306A-4834-9FFE-8049261DE1B2}"/>
    <cellStyle name="Normal 6 6" xfId="356" xr:uid="{9AB15DF0-CA6B-4788-A76D-7788DE0C0158}"/>
    <cellStyle name="Normal 6 6 2" xfId="518" xr:uid="{8E4F9FF6-2CA9-40A4-A1D2-88985BCCA9AE}"/>
    <cellStyle name="Normal 6 7" xfId="393" xr:uid="{E8995099-AFE9-48FE-9162-D04A5324526E}"/>
    <cellStyle name="Normal 6 7 2" xfId="519" xr:uid="{E5758EA4-6A95-4500-BC14-B46BBE94FFC0}"/>
    <cellStyle name="Normal 6 8" xfId="429" xr:uid="{175FABFB-CF82-4BF5-97C8-2B2FE6EAD9DB}"/>
    <cellStyle name="Normal 6 8 2" xfId="520" xr:uid="{F1D0209E-5EC4-45C5-9F3E-27587916C865}"/>
    <cellStyle name="Normal 6 9" xfId="432" xr:uid="{44C0D145-938D-4644-B07B-753C38236869}"/>
    <cellStyle name="Normal 6 9 2" xfId="521" xr:uid="{C1BD9C55-AE3D-48A5-BAAA-742041352755}"/>
    <cellStyle name="Normal 7" xfId="56" xr:uid="{F8421A33-6684-4649-88AB-26A9CE917FC2}"/>
    <cellStyle name="Normal 7 2" xfId="325" xr:uid="{D2D86C38-3752-456F-A62C-71E0E9C2C8FC}"/>
    <cellStyle name="Normal 7 2 2" xfId="332" xr:uid="{23F04117-9E5E-46BE-B981-F323B92FA296}"/>
    <cellStyle name="Normal 7 2 2 2" xfId="346" xr:uid="{DE5C1094-2F3E-4BFD-BF69-3C54CD97E291}"/>
    <cellStyle name="Normal 7 2 2 2 2" xfId="371" xr:uid="{CE7BB75A-A5D6-40C9-8EE7-487E8F69A571}"/>
    <cellStyle name="Normal 7 2 2 2 2 2" xfId="526" xr:uid="{20E6DD54-0F23-4D25-8B73-73B141FF910F}"/>
    <cellStyle name="Normal 7 2 2 2 3" xfId="525" xr:uid="{C83AA3E5-108E-4F5F-ADFD-FCFB5338B1E4}"/>
    <cellStyle name="Normal 7 2 2 3" xfId="370" xr:uid="{C05B704F-87EB-48F5-9C42-EA1D7893F330}"/>
    <cellStyle name="Normal 7 2 2 3 2" xfId="527" xr:uid="{6270FDBA-4992-459D-BBB2-ED4B4337E461}"/>
    <cellStyle name="Normal 7 2 2 4" xfId="524" xr:uid="{8F7F8A25-9EEA-4343-8007-E7AD3D38D2BF}"/>
    <cellStyle name="Normal 7 2 3" xfId="345" xr:uid="{83F76608-8B78-492B-B18D-807271413FA7}"/>
    <cellStyle name="Normal 7 2 3 2" xfId="372" xr:uid="{D5F7787A-CA39-4B03-93A1-AF63A7135421}"/>
    <cellStyle name="Normal 7 2 3 2 2" xfId="529" xr:uid="{F794AD2C-5ADF-4773-902A-009C2B7F5735}"/>
    <cellStyle name="Normal 7 2 3 3" xfId="528" xr:uid="{D4572407-7891-4BBB-B9D0-40AAF0351DB0}"/>
    <cellStyle name="Normal 7 2 4" xfId="369" xr:uid="{0F50925D-3015-44A9-9BA3-3250C781F6FE}"/>
    <cellStyle name="Normal 7 2 4 2" xfId="530" xr:uid="{AE4C3497-7924-4FDB-910F-CBEDD4169469}"/>
    <cellStyle name="Normal 7 2 5" xfId="461" xr:uid="{F5F5F42C-B2CE-4DAF-9D0A-058EDF0C436E}"/>
    <cellStyle name="Normal 7 2 5 2" xfId="531" xr:uid="{0960D38C-8A71-4853-AEC0-0AB75CCB4B5E}"/>
    <cellStyle name="Normal 7 2 6" xfId="523" xr:uid="{50030998-91BE-405D-A660-827447ABDC33}"/>
    <cellStyle name="Normal 7 2 7" xfId="2372" xr:uid="{1C40438F-6DDA-428D-A8C6-97F07D169E28}"/>
    <cellStyle name="Normal 7 3" xfId="329" xr:uid="{23B0B9A5-FB7D-4850-8860-9D8F8D1536A0}"/>
    <cellStyle name="Normal 7 3 2" xfId="347" xr:uid="{79EACD5A-5FF7-4A88-91C2-ABE9EDDB9A41}"/>
    <cellStyle name="Normal 7 3 2 2" xfId="374" xr:uid="{A6E69B46-1B63-4406-ADCD-34CD6A035F6B}"/>
    <cellStyle name="Normal 7 3 2 2 2" xfId="534" xr:uid="{36641912-F71C-414B-A52D-857DE7DB8EBB}"/>
    <cellStyle name="Normal 7 3 2 3" xfId="533" xr:uid="{DBCD0D24-5008-42DC-9E5F-125559A39D84}"/>
    <cellStyle name="Normal 7 3 3" xfId="373" xr:uid="{6A1EE418-7146-48EF-AB00-576447D2330E}"/>
    <cellStyle name="Normal 7 3 3 2" xfId="535" xr:uid="{2F786BAA-91BD-4E60-B1A0-250675B29D87}"/>
    <cellStyle name="Normal 7 3 4" xfId="532" xr:uid="{53C40ECB-066F-4298-9EDD-39CD22830F9B}"/>
    <cellStyle name="Normal 7 4" xfId="344" xr:uid="{92501683-0073-44DA-AA83-7A851CBD042C}"/>
    <cellStyle name="Normal 7 4 2" xfId="375" xr:uid="{2756E9F1-8C3F-46ED-88A6-65AABDA97DCC}"/>
    <cellStyle name="Normal 7 4 2 2" xfId="537" xr:uid="{E6E2779D-8AA4-4FF6-B3C9-071DE20AAA78}"/>
    <cellStyle name="Normal 7 4 3" xfId="536" xr:uid="{FB363707-6B85-47A5-AEC2-50722746D2D1}"/>
    <cellStyle name="Normal 7 5" xfId="368" xr:uid="{53E290BB-DE0F-462D-8C8E-9FE2E39347D6}"/>
    <cellStyle name="Normal 7 5 2" xfId="538" xr:uid="{53FD2CD5-FD30-400A-8A54-CD4DEA8B5E39}"/>
    <cellStyle name="Normal 7 6" xfId="381" xr:uid="{967B2BC2-FFF0-4240-840C-BA28E6160431}"/>
    <cellStyle name="Normal 7 7" xfId="522" xr:uid="{93762CEB-5B56-41B9-BC1E-16823ED51624}"/>
    <cellStyle name="Normal 7 8" xfId="322" xr:uid="{72447E79-67CF-4643-B929-EC967DB4D6B2}"/>
    <cellStyle name="Normal 8" xfId="269" xr:uid="{F0386BB5-8187-4538-B2FB-24AEC1071709}"/>
    <cellStyle name="Normal 8 2" xfId="463" xr:uid="{B5A57442-BCBB-4883-B63A-A338FC9D7A81}"/>
    <cellStyle name="Normal 8 3" xfId="462" xr:uid="{83D0627B-30C3-467F-86F4-F470BA60F8D8}"/>
    <cellStyle name="Normal 8 4" xfId="2365" xr:uid="{C8F0731E-7BCF-4AD1-9FD6-027EE20ECC37}"/>
    <cellStyle name="Normal 9" xfId="376" xr:uid="{1BE74CEC-F2E0-4038-94C1-3DEB85E4EAC2}"/>
    <cellStyle name="Normal 9 2" xfId="539" xr:uid="{0D3E9BCF-69B7-46D9-8EF0-F7D4A6B428CE}"/>
    <cellStyle name="Normal 9 3" xfId="2281" xr:uid="{051F4CF6-1972-462E-8C6A-10E29AF76DFF}"/>
    <cellStyle name="Normal GHG Numbers (0.00)" xfId="194" xr:uid="{1146ADD7-8DB1-476A-9823-95EB4E4EBD4F}"/>
    <cellStyle name="Normal GHG Numbers (0.00) 2" xfId="195" xr:uid="{7C78605F-A0C5-478C-A64C-A94179F233DB}"/>
    <cellStyle name="Normal GHG Numbers (0.00) 3" xfId="59" xr:uid="{DA6E172C-CEA6-4FEE-8BC8-3B06F98D2224}"/>
    <cellStyle name="Normal GHG Numbers (0.00) 3 2" xfId="464" xr:uid="{4FF9C736-E6FC-4378-87E2-7E919E30A170}"/>
    <cellStyle name="Normal GHG Numbers (0.00) 3 2 2" xfId="613" xr:uid="{382D2E7B-38E9-48E3-94D6-F19B46C01AA5}"/>
    <cellStyle name="Normal GHG Numbers (0.00) 3 2 2 2" xfId="828" xr:uid="{8C1FB0AE-3321-49F8-A07B-E9BA270D6599}"/>
    <cellStyle name="Normal GHG Numbers (0.00) 3 2 2 2 2" xfId="1178" xr:uid="{54D391B3-25E1-454D-BB4D-130A6F7C1296}"/>
    <cellStyle name="Normal GHG Numbers (0.00) 3 2 2 2 3" xfId="1804" xr:uid="{31A2F03F-1004-46BD-9098-AC150B1827AD}"/>
    <cellStyle name="Normal GHG Numbers (0.00) 3 2 2 2 4" xfId="2175" xr:uid="{A61F104F-E79F-46B4-935B-FAE390280ACF}"/>
    <cellStyle name="Normal GHG Numbers (0.00) 3 2 2 3" xfId="1118" xr:uid="{DD532C9D-E67A-4EB1-9C31-C6A7EE96F1E4}"/>
    <cellStyle name="Normal GHG Numbers (0.00) 3 2 2 4" xfId="1597" xr:uid="{5729D094-6E63-459A-A097-93F4BEE6B1A1}"/>
    <cellStyle name="Normal GHG Numbers (0.00) 3 2 2 5" xfId="1969" xr:uid="{EAD8E985-8B16-4CC5-A92A-34C638CE3DBB}"/>
    <cellStyle name="Normal GHG Numbers (0.00) 3 2 3" xfId="754" xr:uid="{7AC9B14E-BC9B-4C01-9341-E37375C92CA4}"/>
    <cellStyle name="Normal GHG Numbers (0.00) 3 2 3 2" xfId="1355" xr:uid="{6BFB70B8-A2BF-40A1-84F5-80786962C85D}"/>
    <cellStyle name="Normal GHG Numbers (0.00) 3 2 3 3" xfId="1730" xr:uid="{BC32A376-27EB-4067-B6E9-05963653198C}"/>
    <cellStyle name="Normal GHG Numbers (0.00) 3 2 3 4" xfId="2101" xr:uid="{09F725CD-B804-4615-B312-4C71589B0DB3}"/>
    <cellStyle name="Normal GHG Numbers (0.00) 3 3" xfId="394" xr:uid="{3939480D-5AC5-4C72-92D9-BD47211FC05A}"/>
    <cellStyle name="Normal GHG Numbers (0.00) 3 3 2" xfId="672" xr:uid="{E273E759-163E-4D57-B5C9-C22AC6EE8355}"/>
    <cellStyle name="Normal GHG Numbers (0.00) 3 3 2 2" xfId="887" xr:uid="{3E83F426-ED39-4CDB-9B13-95A410C4BB32}"/>
    <cellStyle name="Normal GHG Numbers (0.00) 3 3 2 2 2" xfId="1208" xr:uid="{E398FC40-AB14-4916-91EB-1D75E652D00B}"/>
    <cellStyle name="Normal GHG Numbers (0.00) 3 3 2 2 3" xfId="1863" xr:uid="{C1AFC23F-69D9-4EFF-A8E7-48515C08243D}"/>
    <cellStyle name="Normal GHG Numbers (0.00) 3 3 2 2 4" xfId="2234" xr:uid="{5E887D50-780D-422C-89DB-8CA5498319EC}"/>
    <cellStyle name="Normal GHG Numbers (0.00) 3 3 2 3" xfId="941" xr:uid="{DE554C35-992C-400A-AF0D-998913083736}"/>
    <cellStyle name="Normal GHG Numbers (0.00) 3 3 2 4" xfId="1656" xr:uid="{EA90692F-ADC7-4FFC-AA0D-4B22B48BB8F7}"/>
    <cellStyle name="Normal GHG Numbers (0.00) 3 3 2 5" xfId="2028" xr:uid="{164E7B52-82C5-49E1-B8B2-896FDD777404}"/>
    <cellStyle name="Normal GHG Numbers (0.00) 3 3 3" xfId="569" xr:uid="{EC856022-EE82-4812-9502-B77A23565D4C}"/>
    <cellStyle name="Normal GHG Numbers (0.00) 3 3 3 2" xfId="784" xr:uid="{ABE94EC2-FE97-4A14-9D8C-7B19EE991B61}"/>
    <cellStyle name="Normal GHG Numbers (0.00) 3 3 3 2 2" xfId="1081" xr:uid="{B12F3032-AF94-444E-A709-FC831862C72E}"/>
    <cellStyle name="Normal GHG Numbers (0.00) 3 3 3 2 3" xfId="1760" xr:uid="{C742E355-7B50-40FD-9DD3-BA201E0BE1C8}"/>
    <cellStyle name="Normal GHG Numbers (0.00) 3 3 3 2 4" xfId="2131" xr:uid="{39D620E4-6EBF-43BE-AA9B-F7FA7329B0CD}"/>
    <cellStyle name="Normal GHG Numbers (0.00) 3 3 3 3" xfId="1023" xr:uid="{78124A8D-04F8-4467-A51D-DA2CB8F8DAAC}"/>
    <cellStyle name="Normal GHG Numbers (0.00) 3 3 3 4" xfId="1553" xr:uid="{A843B868-5D5C-482C-96DB-492BEA967D88}"/>
    <cellStyle name="Normal GHG Numbers (0.00) 3 3 3 5" xfId="1925" xr:uid="{2C350140-CEDC-4115-B422-C73404C3FEED}"/>
    <cellStyle name="Normal GHG Numbers (0.00) 3 3 4" xfId="702" xr:uid="{841B0C3E-245B-4C75-B416-32E4F457ABA5}"/>
    <cellStyle name="Normal GHG Numbers (0.00) 3 3 4 2" xfId="917" xr:uid="{41A36783-F8C2-4065-A61A-CAA09C98653F}"/>
    <cellStyle name="Normal GHG Numbers (0.00) 3 3 4 2 2" xfId="1509" xr:uid="{A8EB2B40-B61E-41AA-A1E0-52BEF0B805F7}"/>
    <cellStyle name="Normal GHG Numbers (0.00) 3 3 4 2 3" xfId="1893" xr:uid="{90652A3D-8A26-4E80-AA92-DF739661266B}"/>
    <cellStyle name="Normal GHG Numbers (0.00) 3 3 4 2 4" xfId="2264" xr:uid="{11CC4DBD-664C-4D8F-ABEC-387CD9157AC8}"/>
    <cellStyle name="Normal GHG Numbers (0.00) 3 3 4 3" xfId="1479" xr:uid="{D1B5C4AE-99AE-4B0E-9994-58918B889CC9}"/>
    <cellStyle name="Normal GHG Numbers (0.00) 3 3 4 4" xfId="1686" xr:uid="{1CE2927A-85CE-4477-BE5E-6563D8B4BB29}"/>
    <cellStyle name="Normal GHG Numbers (0.00) 3 3 4 5" xfId="2058" xr:uid="{186F5AC6-E8F2-4C4A-ABB7-0391BA84C0FE}"/>
    <cellStyle name="Normal GHG Numbers (0.00) 3 3 5" xfId="1285" xr:uid="{E88AB3F9-7E3D-4B1A-AD6D-6BB177B29447}"/>
    <cellStyle name="Normal GHG Numbers (0.00) 3 3 6" xfId="1082" xr:uid="{D690F2CE-E783-4F90-BC3A-E0B15498D80E}"/>
    <cellStyle name="Normal GHG Numbers (0.00) 3 3 7" xfId="1145" xr:uid="{D2C59097-BA1E-4E13-BE32-19A2ADD7CAFD}"/>
    <cellStyle name="Normal GHG Numbers (0.00) 3 4" xfId="196" xr:uid="{7984611C-FDDB-42FD-BEF8-1508A77D5C75}"/>
    <cellStyle name="Normal GHG Textfiels Bold" xfId="26" xr:uid="{A9D19082-EAA2-40A0-B4DA-7FE5823C76AF}"/>
    <cellStyle name="Normal GHG Textfiels Bold 2" xfId="197" xr:uid="{65C385FA-6B7B-4B84-A455-8004B73A24F8}"/>
    <cellStyle name="Normal GHG Textfiels Bold 3" xfId="198" xr:uid="{F3F44880-055A-4F7A-B03E-508BBE1099CA}"/>
    <cellStyle name="Normal GHG Textfiels Bold 3 2" xfId="465" xr:uid="{8831A483-0C45-4F57-ADCF-069BE7668AFE}"/>
    <cellStyle name="Normal GHG Textfiels Bold 3 2 2" xfId="557" xr:uid="{4A254874-89E0-47CD-BBBC-D90A8FBF5794}"/>
    <cellStyle name="Normal GHG Textfiels Bold 3 2 2 2" xfId="772" xr:uid="{7C13061A-F9F9-45B0-899B-E4DE7E52E4F2}"/>
    <cellStyle name="Normal GHG Textfiels Bold 3 2 2 2 2" xfId="1159" xr:uid="{66C94E2F-6C44-44FB-8FD9-191CFE605273}"/>
    <cellStyle name="Normal GHG Textfiels Bold 3 2 2 2 3" xfId="1748" xr:uid="{09C6FDB2-3E67-42C3-856C-8273F3EFB3FF}"/>
    <cellStyle name="Normal GHG Textfiels Bold 3 2 2 2 4" xfId="2119" xr:uid="{BC4863C9-A579-4A8E-889F-2695BC04D261}"/>
    <cellStyle name="Normal GHG Textfiels Bold 3 2 2 3" xfId="1430" xr:uid="{9E9D57A2-6C9E-4E96-B8EE-49DCC90D014B}"/>
    <cellStyle name="Normal GHG Textfiels Bold 3 2 2 4" xfId="1541" xr:uid="{E4DD8F9F-2827-47CA-83D8-F6EE26E7A2AA}"/>
    <cellStyle name="Normal GHG Textfiels Bold 3 2 2 5" xfId="1913" xr:uid="{8CADAF35-CB87-4BDC-BBCE-AA20EDA95714}"/>
    <cellStyle name="Normal GHG Textfiels Bold 3 2 3" xfId="755" xr:uid="{6A34D3F0-33F4-45E1-833A-C5A6573E3C66}"/>
    <cellStyle name="Normal GHG Textfiels Bold 3 2 3 2" xfId="1492" xr:uid="{17DBC3FF-75A2-4245-9B1A-795D75AF4D0C}"/>
    <cellStyle name="Normal GHG Textfiels Bold 3 2 3 3" xfId="1731" xr:uid="{B65637F1-9C7F-443A-B576-E54849A21260}"/>
    <cellStyle name="Normal GHG Textfiels Bold 3 2 3 4" xfId="2102" xr:uid="{CAD7840F-77C0-4A15-A943-2535E3422544}"/>
    <cellStyle name="Normal GHG Textfiels Bold 3 3" xfId="395" xr:uid="{4488D265-6A6B-471D-8707-5F03169F5369}"/>
    <cellStyle name="Normal GHG Textfiels Bold 3 3 2" xfId="673" xr:uid="{CD470CA9-C678-41B5-AE99-2A7243920BD5}"/>
    <cellStyle name="Normal GHG Textfiels Bold 3 3 2 2" xfId="888" xr:uid="{D4595BA5-54FC-4EB2-8AD6-6E2803618D14}"/>
    <cellStyle name="Normal GHG Textfiels Bold 3 3 2 2 2" xfId="1435" xr:uid="{375E600E-D8CC-4956-BF1C-06AC3F77D074}"/>
    <cellStyle name="Normal GHG Textfiels Bold 3 3 2 2 3" xfId="1864" xr:uid="{19AEFBD7-5234-4D9E-9B9F-B2F133C58C00}"/>
    <cellStyle name="Normal GHG Textfiels Bold 3 3 2 2 4" xfId="2235" xr:uid="{31DB2382-B8ED-4165-8E2F-23C68B30F251}"/>
    <cellStyle name="Normal GHG Textfiels Bold 3 3 2 3" xfId="1201" xr:uid="{BDE3D13C-1F12-45E0-B46F-6E6E38D4B702}"/>
    <cellStyle name="Normal GHG Textfiels Bold 3 3 2 4" xfId="1657" xr:uid="{82446AFB-21AA-4589-B0FD-752EBA410A48}"/>
    <cellStyle name="Normal GHG Textfiels Bold 3 3 2 5" xfId="2029" xr:uid="{715CB075-B0D8-4CBE-BCE6-5C69BEDA88BB}"/>
    <cellStyle name="Normal GHG Textfiels Bold 3 3 3" xfId="616" xr:uid="{136089FA-0289-4DA7-99CB-167DD7620742}"/>
    <cellStyle name="Normal GHG Textfiels Bold 3 3 3 2" xfId="831" xr:uid="{33B7A58F-FED3-4543-8C8F-8438AFD205D5}"/>
    <cellStyle name="Normal GHG Textfiels Bold 3 3 3 2 2" xfId="1364" xr:uid="{E0E24F22-1EAC-46F4-8489-4BBB6BC8C560}"/>
    <cellStyle name="Normal GHG Textfiels Bold 3 3 3 2 3" xfId="1807" xr:uid="{D6C6B714-8665-4866-A8BD-185A180C4331}"/>
    <cellStyle name="Normal GHG Textfiels Bold 3 3 3 2 4" xfId="2178" xr:uid="{60C644C7-3C50-44E9-8C24-4BB3D64356B2}"/>
    <cellStyle name="Normal GHG Textfiels Bold 3 3 3 3" xfId="1133" xr:uid="{CEF5D2D3-C5D5-4CF9-AD22-1F3F18C20A90}"/>
    <cellStyle name="Normal GHG Textfiels Bold 3 3 3 4" xfId="1600" xr:uid="{49592D80-DABE-4FB6-8861-E3851AE04301}"/>
    <cellStyle name="Normal GHG Textfiels Bold 3 3 3 5" xfId="1972" xr:uid="{3E55CF23-94D4-4292-9424-01A2D7334A26}"/>
    <cellStyle name="Normal GHG Textfiels Bold 3 3 4" xfId="591" xr:uid="{B886992B-4AF8-4729-8E05-083FE297BE1D}"/>
    <cellStyle name="Normal GHG Textfiels Bold 3 3 4 2" xfId="806" xr:uid="{A02DC794-6AC7-4E81-9D43-45AAD24BED90}"/>
    <cellStyle name="Normal GHG Textfiels Bold 3 3 4 2 2" xfId="1171" xr:uid="{41D9021C-501C-44F6-B2D0-90C517A1D3AD}"/>
    <cellStyle name="Normal GHG Textfiels Bold 3 3 4 2 3" xfId="1782" xr:uid="{4A1FCB8C-24B5-46AB-AC22-AF4D0D4F0C02}"/>
    <cellStyle name="Normal GHG Textfiels Bold 3 3 4 2 4" xfId="2153" xr:uid="{0008F14B-19AC-48F6-A9BB-43411CAD632E}"/>
    <cellStyle name="Normal GHG Textfiels Bold 3 3 4 3" xfId="1025" xr:uid="{13B32AF0-9796-48EF-AEB2-DF8F266DF9E7}"/>
    <cellStyle name="Normal GHG Textfiels Bold 3 3 4 4" xfId="1575" xr:uid="{15753F6C-2B9F-4954-892C-0EE8F7458A94}"/>
    <cellStyle name="Normal GHG Textfiels Bold 3 3 4 5" xfId="1947" xr:uid="{3DA44D36-22B9-41D4-B284-08DE75712399}"/>
    <cellStyle name="Normal GHG Textfiels Bold 3 3 5" xfId="1017" xr:uid="{2B9CD339-5859-4453-91C8-18585DF8AF48}"/>
    <cellStyle name="Normal GHG Textfiels Bold 3 3 6" xfId="1004" xr:uid="{4BD18F95-BF42-470C-8AB2-5D77CC13B57A}"/>
    <cellStyle name="Normal GHG Textfiels Bold 3 3 7" xfId="1083" xr:uid="{CD7FBA16-D916-4AE9-949F-EE8EC2E0DFE8}"/>
    <cellStyle name="Normal GHG whole table" xfId="35" xr:uid="{01CEF103-586F-4157-B92A-B7408FD96234}"/>
    <cellStyle name="Normal GHG whole table 2" xfId="466" xr:uid="{8315B1D6-CB86-413A-9EA4-B01773254189}"/>
    <cellStyle name="Normal GHG whole table 2 2" xfId="612" xr:uid="{71B485FA-B6EE-4385-A5DB-82CABDB01589}"/>
    <cellStyle name="Normal GHG whole table 2 2 2" xfId="827" xr:uid="{B6A10363-025F-4D33-BE65-D0FB48C3C455}"/>
    <cellStyle name="Normal GHG whole table 2 2 2 2" xfId="1405" xr:uid="{FD6B4D87-3ED1-44A7-A8C9-4112EE80CA79}"/>
    <cellStyle name="Normal GHG whole table 2 2 2 3" xfId="1803" xr:uid="{FB753F2A-50D1-4055-9E8B-FA2D308DBA16}"/>
    <cellStyle name="Normal GHG whole table 2 2 2 4" xfId="2174" xr:uid="{6BDFBDA4-C406-4DAF-BBC6-9FE909EAA764}"/>
    <cellStyle name="Normal GHG whole table 2 2 3" xfId="1389" xr:uid="{B4AC0EA8-4B9F-484D-8DD7-AD46A1476EED}"/>
    <cellStyle name="Normal GHG whole table 2 2 4" xfId="1596" xr:uid="{35DB2C6A-5D29-445D-B989-B0C6B2B6392A}"/>
    <cellStyle name="Normal GHG whole table 2 2 5" xfId="1968" xr:uid="{712C5A68-E73D-4710-9DE6-6D9C053ABCED}"/>
    <cellStyle name="Normal GHG whole table 2 3" xfId="756" xr:uid="{DCD5EB03-CD59-4E65-A8ED-95FE6C44C745}"/>
    <cellStyle name="Normal GHG whole table 2 3 2" xfId="1396" xr:uid="{6E51B9A6-8BA2-46C2-BE0B-359A1E12CB50}"/>
    <cellStyle name="Normal GHG whole table 2 3 3" xfId="1732" xr:uid="{89CCA0E7-D902-43A7-958E-9A5741EC7951}"/>
    <cellStyle name="Normal GHG whole table 2 3 4" xfId="2103" xr:uid="{B2C44E58-6F46-4342-BA83-336CD84B16D0}"/>
    <cellStyle name="Normal GHG whole table 3" xfId="315" xr:uid="{6075FDAF-3EF3-49CB-AFAE-63ED27F3B1DB}"/>
    <cellStyle name="Normal GHG whole table 3 2" xfId="652" xr:uid="{1C4EF716-DF28-42B3-ACD3-8FFE9411351B}"/>
    <cellStyle name="Normal GHG whole table 3 2 2" xfId="867" xr:uid="{0E52D87F-865D-4582-866B-EEC1A1779871}"/>
    <cellStyle name="Normal GHG whole table 3 2 2 2" xfId="1475" xr:uid="{47902800-C411-4F4A-942C-7B8CC63F6CD3}"/>
    <cellStyle name="Normal GHG whole table 3 2 2 3" xfId="1843" xr:uid="{3629A659-40AC-4BCC-A05B-BADF137C291B}"/>
    <cellStyle name="Normal GHG whole table 3 2 2 4" xfId="2214" xr:uid="{0FDFF220-B401-40FC-818A-0333A98ACF36}"/>
    <cellStyle name="Normal GHG whole table 3 2 3" xfId="1153" xr:uid="{C84E7AC5-0443-42A4-B370-F294E27BB83D}"/>
    <cellStyle name="Normal GHG whole table 3 2 4" xfId="1636" xr:uid="{8C887784-B5B0-4E9D-B82B-B2DCE98EB56C}"/>
    <cellStyle name="Normal GHG whole table 3 2 5" xfId="2008" xr:uid="{F7E4F1CC-483F-4745-9CA3-34FF4FE68D77}"/>
    <cellStyle name="Normal GHG whole table 3 3" xfId="573" xr:uid="{FF37E161-7CFE-461D-B479-ADD9C1CBB4E0}"/>
    <cellStyle name="Normal GHG whole table 3 3 2" xfId="788" xr:uid="{DB4D1EE2-1753-40CE-8825-A24FAD358BF2}"/>
    <cellStyle name="Normal GHG whole table 3 3 2 2" xfId="1176" xr:uid="{144A9577-CDDE-41C0-8710-FDA50EA497FB}"/>
    <cellStyle name="Normal GHG whole table 3 3 2 3" xfId="1764" xr:uid="{58720485-F4A7-4D29-BCB7-27FA786BD74C}"/>
    <cellStyle name="Normal GHG whole table 3 3 2 4" xfId="2135" xr:uid="{086C6096-3959-49E8-A83F-41781A81386F}"/>
    <cellStyle name="Normal GHG whole table 3 3 3" xfId="1237" xr:uid="{C7709D3C-5A43-439D-BF71-560145124CAF}"/>
    <cellStyle name="Normal GHG whole table 3 3 4" xfId="1557" xr:uid="{BA60A3E0-D69F-4CB9-8017-4D4CB477E23C}"/>
    <cellStyle name="Normal GHG whole table 3 3 5" xfId="1929" xr:uid="{CC4608EB-E9C1-470A-A781-54CE9A146F63}"/>
    <cellStyle name="Normal GHG whole table 3 4" xfId="660" xr:uid="{353B7F87-A5E3-47FE-B2E9-319BEA679B6F}"/>
    <cellStyle name="Normal GHG whole table 3 4 2" xfId="875" xr:uid="{D3089814-60FF-46F5-81D8-EAECD9A0BD33}"/>
    <cellStyle name="Normal GHG whole table 3 4 2 2" xfId="1453" xr:uid="{9CE2B9ED-DBCD-42D7-80BE-DD5BF335BA34}"/>
    <cellStyle name="Normal GHG whole table 3 4 2 3" xfId="1851" xr:uid="{8C79C56D-3117-4BD9-9D28-E6C5EF4E8905}"/>
    <cellStyle name="Normal GHG whole table 3 4 2 4" xfId="2222" xr:uid="{41A4EF3B-295A-4562-A9F1-008B5477DDFF}"/>
    <cellStyle name="Normal GHG whole table 3 4 3" xfId="1022" xr:uid="{05506E96-9B09-47DB-AD30-9A5D40AA1C2D}"/>
    <cellStyle name="Normal GHG whole table 3 4 4" xfId="1644" xr:uid="{BB8E0731-ECB0-432B-98E3-64C3E792C70C}"/>
    <cellStyle name="Normal GHG whole table 3 4 5" xfId="2016" xr:uid="{6DF94489-06B0-4041-8648-CDF22420584C}"/>
    <cellStyle name="Normal GHG whole table 3 5" xfId="32" xr:uid="{30E9D6A8-DBC2-4B6D-9800-981A585BA202}"/>
    <cellStyle name="Normal GHG whole table 3 6" xfId="1411" xr:uid="{13ADA655-1E91-47F7-9E07-D77B6CA84CFF}"/>
    <cellStyle name="Normal GHG whole table 3 7" xfId="1210" xr:uid="{0DCECFAE-413B-4DB6-B3F2-0781BD54163B}"/>
    <cellStyle name="Normal GHG whole table 4" xfId="102" xr:uid="{9A5B80B0-419B-4D16-9CDE-B31D6B8D42F6}"/>
    <cellStyle name="Normal GHG-Shade" xfId="33" xr:uid="{2822C1AB-3B56-437A-BE40-C1C84051197F}"/>
    <cellStyle name="Normal GHG-Shade 2" xfId="199" xr:uid="{D665D6DF-2BA4-471C-B41D-7AD4440935EA}"/>
    <cellStyle name="Normal GHG-Shade 2 2" xfId="200" xr:uid="{3CD4D400-EE06-4282-9DFC-4316FABBDCC8}"/>
    <cellStyle name="Normal GHG-Shade 2 3" xfId="201" xr:uid="{2FBFB31F-D66A-4D38-853B-E675F52A3967}"/>
    <cellStyle name="Normal GHG-Shade 2 4" xfId="231" xr:uid="{D632A16B-3748-413E-BDA8-ABC26BB1464D}"/>
    <cellStyle name="Normal GHG-Shade 2 5" xfId="396" xr:uid="{E26B3F12-F4CF-4EF1-AC7A-E3519F536FAF}"/>
    <cellStyle name="Normal GHG-Shade 3" xfId="202" xr:uid="{637FE66A-9DFE-4513-9DF4-F57357396C23}"/>
    <cellStyle name="Normal GHG-Shade 3 2" xfId="203" xr:uid="{A9F25D69-8644-46FF-991D-D682C4F2D6D6}"/>
    <cellStyle name="Normal GHG-Shade 4" xfId="204" xr:uid="{8FD23B9C-63B9-4A87-A96B-7D647DA552EF}"/>
    <cellStyle name="Normal GHG-Shade 4 2" xfId="467" xr:uid="{C8FC5587-083B-4975-A123-9169155F68BF}"/>
    <cellStyle name="Normál_Munka1" xfId="48" xr:uid="{89585B3C-E17E-4871-8A1A-8DC2E426BD1E}"/>
    <cellStyle name="Note 2" xfId="205" xr:uid="{BF118E57-1531-498F-9CE0-7A774B7D2911}"/>
    <cellStyle name="Note 2 2" xfId="595" xr:uid="{D51EDCBA-4E4C-402A-B296-EC5287E5ED57}"/>
    <cellStyle name="Note 2 2 2" xfId="810" xr:uid="{D6F72126-7D1A-4457-8C72-B8E81C6BEB75}"/>
    <cellStyle name="Note 2 2 2 2" xfId="1259" xr:uid="{F38321BC-1B3A-47CC-BB9A-128B315189DA}"/>
    <cellStyle name="Note 2 2 2 3" xfId="1786" xr:uid="{0345A304-9E90-4000-9C4E-B10480C94517}"/>
    <cellStyle name="Note 2 2 2 4" xfId="2157" xr:uid="{7988119E-10D1-4A32-9B46-CEB5C51F66FB}"/>
    <cellStyle name="Note 2 2 3" xfId="1161" xr:uid="{C4544B25-A1F5-43EF-82E4-BE8E51EF6C68}"/>
    <cellStyle name="Note 2 2 4" xfId="1579" xr:uid="{557E8A70-E252-4123-9BC0-0EF73F24926B}"/>
    <cellStyle name="Note 2 2 5" xfId="1951" xr:uid="{D3712715-FB1C-43CB-874C-420439E9060B}"/>
    <cellStyle name="Note 2 3" xfId="659" xr:uid="{94BD2266-8E84-474F-B36F-AB6193F6DB12}"/>
    <cellStyle name="Note 2 3 2" xfId="874" xr:uid="{4BC37D0B-0212-42B5-93A7-37BE76AE11E1}"/>
    <cellStyle name="Note 2 3 2 2" xfId="1340" xr:uid="{FEE66399-2866-4992-9E96-27ABD93F0675}"/>
    <cellStyle name="Note 2 3 2 3" xfId="1850" xr:uid="{7362BF4B-C402-4DA5-85DD-745070C316AC}"/>
    <cellStyle name="Note 2 3 2 4" xfId="2221" xr:uid="{45BD531D-B5D6-49F2-B985-576AC5EC02D7}"/>
    <cellStyle name="Note 2 3 3" xfId="1404" xr:uid="{9BCD905C-08FA-485B-9D28-6ED9A2DA9BA9}"/>
    <cellStyle name="Note 2 3 4" xfId="1643" xr:uid="{53D3CDA1-F510-4CA2-A123-53951F524897}"/>
    <cellStyle name="Note 2 3 5" xfId="2015" xr:uid="{0AC00AAB-A9C0-43D2-8FB9-E9C13FCDE996}"/>
    <cellStyle name="Note 2 4" xfId="554" xr:uid="{38FCF738-DE28-4EFA-9EDC-45229FDCDF60}"/>
    <cellStyle name="Note 2 4 2" xfId="769" xr:uid="{66396F40-87DB-430F-8EDA-D3354FC5AD62}"/>
    <cellStyle name="Note 2 4 2 2" xfId="1002" xr:uid="{0DEE8BBF-5E85-4CB3-A537-95419F83A589}"/>
    <cellStyle name="Note 2 4 2 3" xfId="1745" xr:uid="{5CEB7965-8C48-4B22-BB29-2FD772954937}"/>
    <cellStyle name="Note 2 4 2 4" xfId="2116" xr:uid="{C4D2445B-62F6-4195-B958-5D8CC7080D05}"/>
    <cellStyle name="Note 2 4 3" xfId="1132" xr:uid="{A3153833-367E-450D-BA20-4542C4B79E12}"/>
    <cellStyle name="Note 2 4 4" xfId="1538" xr:uid="{721DFDA9-84B2-48E6-9B48-6E42FB10BF58}"/>
    <cellStyle name="Note 2 4 5" xfId="1910" xr:uid="{70A7BDA8-B733-4B09-9BE6-BA50D2A56B2E}"/>
    <cellStyle name="Note 2 5" xfId="718" xr:uid="{45F59481-3EA6-40FF-B025-BC0D77492CC5}"/>
    <cellStyle name="Note 2 5 2" xfId="926" xr:uid="{873EC906-685D-4486-9DAE-4AD96E146F6C}"/>
    <cellStyle name="Note 2 5 3" xfId="1701" xr:uid="{971EB257-A1DE-4360-8B44-2ADBC5123A75}"/>
    <cellStyle name="Note 2 5 4" xfId="2073" xr:uid="{FA9105B8-CBD9-4027-AE86-BE98C2DD674F}"/>
    <cellStyle name="Note 2 6" xfId="1467" xr:uid="{E77BA4EA-2167-4D52-BF0C-06B919524ACB}"/>
    <cellStyle name="Note 2 7" xfId="1292" xr:uid="{8589D293-184D-4250-B092-17773998F097}"/>
    <cellStyle name="Note 2 8" xfId="990" xr:uid="{26FEE8A8-94BB-487F-AC44-D6D8D4C97485}"/>
    <cellStyle name="Note 3" xfId="270" xr:uid="{AF347AB2-FC55-4FAF-ABDA-3D39CC1E6253}"/>
    <cellStyle name="Note 3 2" xfId="623" xr:uid="{666326B2-6DA1-4158-A775-ACCDE92565A7}"/>
    <cellStyle name="Note 3 2 2" xfId="838" xr:uid="{EFF7BFEF-2D22-44CA-B367-3BDC96BD6DE8}"/>
    <cellStyle name="Note 3 2 2 2" xfId="1170" xr:uid="{4CEDDC5F-EDDC-4F12-894E-585387281145}"/>
    <cellStyle name="Note 3 2 2 3" xfId="1814" xr:uid="{90B741FA-8672-49B4-A0A1-074CE31F7A70}"/>
    <cellStyle name="Note 3 2 2 4" xfId="2185" xr:uid="{CDEB4117-AE60-419B-A539-F0BAAFDEAB86}"/>
    <cellStyle name="Note 3 2 3" xfId="1205" xr:uid="{BB7EB0DE-04AE-4D64-856E-EDF1C55CC509}"/>
    <cellStyle name="Note 3 2 4" xfId="1607" xr:uid="{2E90F909-08EF-4A14-9F70-3D4424530A72}"/>
    <cellStyle name="Note 3 2 5" xfId="1979" xr:uid="{284EA8EB-A36C-4597-843B-7178D6E1F833}"/>
    <cellStyle name="Note 3 3" xfId="589" xr:uid="{A8F283F2-94F5-4B29-B039-0175C499DE70}"/>
    <cellStyle name="Note 3 3 2" xfId="804" xr:uid="{DE220436-4991-4E5C-AA58-7A0496F8C6B5}"/>
    <cellStyle name="Note 3 3 2 2" xfId="1158" xr:uid="{5E5959F9-B4A9-4F51-96B3-162FBF99B245}"/>
    <cellStyle name="Note 3 3 2 3" xfId="1780" xr:uid="{CA47EFA2-F258-41B4-B5EE-957CB799B1B1}"/>
    <cellStyle name="Note 3 3 2 4" xfId="2151" xr:uid="{858F1B60-E1AF-480E-83A0-96F5A33518A4}"/>
    <cellStyle name="Note 3 3 3" xfId="1398" xr:uid="{376916D2-38DD-41E7-B8B2-E89D1E664330}"/>
    <cellStyle name="Note 3 3 4" xfId="1573" xr:uid="{97F99642-1A4C-41F1-AD01-28FE396EFDDC}"/>
    <cellStyle name="Note 3 3 5" xfId="1945" xr:uid="{0BD81B36-FD76-47AE-9F29-063E14A81436}"/>
    <cellStyle name="Note 3 4" xfId="607" xr:uid="{52974414-3D1C-47CD-AFDD-4C59CC7B3A27}"/>
    <cellStyle name="Note 3 4 2" xfId="822" xr:uid="{B179DA2F-200B-4D73-B0A7-BCC5889F2152}"/>
    <cellStyle name="Note 3 4 2 2" xfId="1139" xr:uid="{39E6CA97-0664-4EB9-B810-F080D3953179}"/>
    <cellStyle name="Note 3 4 2 3" xfId="1798" xr:uid="{6EB1E783-F587-49FB-85E6-669678727307}"/>
    <cellStyle name="Note 3 4 2 4" xfId="2169" xr:uid="{A8093A15-BCAE-4635-97EA-89B2B4B98BC3}"/>
    <cellStyle name="Note 3 4 3" xfId="1140" xr:uid="{A4EE7138-1A58-42F7-B1EC-12CD1A5C2211}"/>
    <cellStyle name="Note 3 4 4" xfId="1591" xr:uid="{1E89BD12-776B-4EE7-8140-B18FC6BCFD71}"/>
    <cellStyle name="Note 3 4 5" xfId="1963" xr:uid="{0025E9E4-A98D-461D-9BD6-D2EC832DF6E0}"/>
    <cellStyle name="Note 3 5" xfId="724" xr:uid="{F7AE4601-035E-489E-A3E3-C2378F03B4CC}"/>
    <cellStyle name="Note 3 5 2" xfId="1471" xr:uid="{1B7589BE-2675-4556-9D7C-951EC374D487}"/>
    <cellStyle name="Note 3 5 3" xfId="1707" xr:uid="{A2C90643-FDB4-484A-9EDD-98C3A021BF31}"/>
    <cellStyle name="Note 3 5 4" xfId="2079" xr:uid="{586030D3-AA5F-4242-BA7A-75B6A4C62DB3}"/>
    <cellStyle name="Note 3 6" xfId="950" xr:uid="{12133650-580E-4297-8266-55BF2DD47952}"/>
    <cellStyle name="Note 3 7" xfId="979" xr:uid="{D9F66E17-115F-4D7B-B5C8-3CC8560502D6}"/>
    <cellStyle name="Note 3 8" xfId="1020" xr:uid="{4D55E89D-AAB8-47D5-A496-7865CB51D860}"/>
    <cellStyle name="Note 4" xfId="2436" xr:uid="{B198F876-3B28-4F6C-8AF2-7391449854CF}"/>
    <cellStyle name="Notiz" xfId="206" xr:uid="{7B591948-3960-4129-84EF-F103AFBF06FC}"/>
    <cellStyle name="Notiz 2" xfId="596" xr:uid="{9250CC57-2F1B-4AF9-AF66-DC87962DD243}"/>
    <cellStyle name="Notiz 2 2" xfId="811" xr:uid="{728E0571-760A-4593-9BF0-F4754704D0B7}"/>
    <cellStyle name="Notiz 2 2 2" xfId="959" xr:uid="{151F4164-F0F2-4E40-9D91-0E5EC18E9F43}"/>
    <cellStyle name="Notiz 2 2 3" xfId="1787" xr:uid="{D8730B6D-A210-41CB-9B1E-327246333DF8}"/>
    <cellStyle name="Notiz 2 2 4" xfId="2158" xr:uid="{7F0306EE-30B2-44C2-B1F5-C5E064256095}"/>
    <cellStyle name="Notiz 2 3" xfId="932" xr:uid="{EBF89BA3-10D8-4CE7-976C-FED80D0F22EA}"/>
    <cellStyle name="Notiz 2 4" xfId="1580" xr:uid="{B99E4551-BAED-47C1-B84D-A048E3792F93}"/>
    <cellStyle name="Notiz 2 5" xfId="1952" xr:uid="{9F672E58-0A0A-4DB8-895D-04C677B4AE21}"/>
    <cellStyle name="Notiz 3" xfId="658" xr:uid="{E06938DF-DE4A-4148-8D06-28A28726303C}"/>
    <cellStyle name="Notiz 3 2" xfId="873" xr:uid="{0418F5E9-1952-4CD0-80B8-CA5E81A1EB38}"/>
    <cellStyle name="Notiz 3 2 2" xfId="1420" xr:uid="{31D4C4D0-44D6-4052-85D5-29AB0225FCE1}"/>
    <cellStyle name="Notiz 3 2 3" xfId="1849" xr:uid="{30BA3E36-2F25-4357-9561-9817DBACF283}"/>
    <cellStyle name="Notiz 3 2 4" xfId="2220" xr:uid="{71253EBB-F132-4B7B-8E87-9233FEDD3B14}"/>
    <cellStyle name="Notiz 3 3" xfId="1013" xr:uid="{A2B69736-0E5B-46B2-8ABD-874AAE56F07F}"/>
    <cellStyle name="Notiz 3 4" xfId="1642" xr:uid="{FB91B2AA-9D14-4DCC-B5BC-2FAE088C08A6}"/>
    <cellStyle name="Notiz 3 5" xfId="2014" xr:uid="{EA05ADE2-6AC2-4F49-B050-13797614C4C6}"/>
    <cellStyle name="Notiz 4" xfId="627" xr:uid="{D91291C5-9CAB-428F-9B66-043DC8114011}"/>
    <cellStyle name="Notiz 4 2" xfId="842" xr:uid="{FE93E21D-00E0-4F6E-8534-00AD5AA9C42D}"/>
    <cellStyle name="Notiz 4 2 2" xfId="1258" xr:uid="{1F009A06-41EA-4A77-B86F-9902556DA5A0}"/>
    <cellStyle name="Notiz 4 2 3" xfId="1818" xr:uid="{B580A2CC-BB49-4D50-821F-260626F3E221}"/>
    <cellStyle name="Notiz 4 2 4" xfId="2189" xr:uid="{24D21837-067D-4B75-AEFB-2C16A3A2C712}"/>
    <cellStyle name="Notiz 4 3" xfId="1199" xr:uid="{1F96AC6C-CF80-427E-A3C0-CB38BCF11FED}"/>
    <cellStyle name="Notiz 4 4" xfId="1611" xr:uid="{20DEEC16-6082-4E73-8E22-ECE95ACDF895}"/>
    <cellStyle name="Notiz 4 5" xfId="1983" xr:uid="{841D2654-6E7E-4F0A-91AF-E3051A6BC192}"/>
    <cellStyle name="Notiz 5" xfId="719" xr:uid="{A97B79AC-B057-43D9-A109-10C868628C5E}"/>
    <cellStyle name="Notiz 5 2" xfId="1125" xr:uid="{54F09A54-9660-4AA9-B24F-AE4B1FB9C3BA}"/>
    <cellStyle name="Notiz 5 3" xfId="1702" xr:uid="{4F65BD93-28B5-4A24-8D86-9D2B8862D1B5}"/>
    <cellStyle name="Notiz 5 4" xfId="2074" xr:uid="{0D70C754-CE29-4ADB-955E-9E8DE798D9BD}"/>
    <cellStyle name="Notiz 6" xfId="1114" xr:uid="{CF7E88BA-87D9-4472-ACA5-5FF577F62277}"/>
    <cellStyle name="Notiz 7" xfId="994" xr:uid="{CA8B4928-1592-4CF0-B6F8-997B7F4FD792}"/>
    <cellStyle name="Notiz 8" xfId="1052" xr:uid="{22809EA7-0F20-42F2-AB71-6C1BB42B3495}"/>
    <cellStyle name="Output 2" xfId="207" xr:uid="{8AB1133D-B245-43F5-B679-EB105679328C}"/>
    <cellStyle name="Output 2 2" xfId="597" xr:uid="{2A7EBD76-3848-40C8-95E7-A5D512BC3384}"/>
    <cellStyle name="Output 2 2 2" xfId="812" xr:uid="{85A691C0-FD50-49D2-A0CA-F4C5F994EF1A}"/>
    <cellStyle name="Output 2 2 2 2" xfId="1242" xr:uid="{96CAD796-D6CC-4A30-BD40-1AD0954F862B}"/>
    <cellStyle name="Output 2 2 2 3" xfId="1788" xr:uid="{D30EE955-AD19-4849-8D90-C0B6603E5012}"/>
    <cellStyle name="Output 2 2 2 4" xfId="2159" xr:uid="{85971101-1F54-45BF-860C-9E9D4FF6DB39}"/>
    <cellStyle name="Output 2 2 3" xfId="1027" xr:uid="{9A11CBB1-D214-44AA-B02A-D04F7D57E05B}"/>
    <cellStyle name="Output 2 2 4" xfId="1581" xr:uid="{5A67EB35-9159-42F7-87A5-BB6A33174234}"/>
    <cellStyle name="Output 2 2 5" xfId="1953" xr:uid="{8975DD8B-786E-4916-BF49-F7EE9ABAD1BF}"/>
    <cellStyle name="Output 2 3" xfId="693" xr:uid="{CA49E31A-9102-4C5D-AFDE-8484F176CF60}"/>
    <cellStyle name="Output 2 3 2" xfId="908" xr:uid="{D9FAE0C2-3C22-4BBC-8C94-8B6F72EF1F1B}"/>
    <cellStyle name="Output 2 3 2 2" xfId="1500" xr:uid="{C9FB69E6-90B3-4327-B55E-E394A0919D63}"/>
    <cellStyle name="Output 2 3 2 3" xfId="1884" xr:uid="{960BB351-2D5E-444F-B58B-B1F883A613D6}"/>
    <cellStyle name="Output 2 3 2 4" xfId="2255" xr:uid="{DD557597-BF5D-4DE6-ADB3-67B1E42465EF}"/>
    <cellStyle name="Output 2 3 3" xfId="1313" xr:uid="{36B6A7D0-8740-4A95-85DB-E3F077211274}"/>
    <cellStyle name="Output 2 3 4" xfId="1677" xr:uid="{6492227C-CB7A-4D0B-9250-ED84C1DA394C}"/>
    <cellStyle name="Output 2 3 5" xfId="2049" xr:uid="{0C3CF9E1-31FE-4AAD-BC6D-6A3D5494AF64}"/>
    <cellStyle name="Output 2 4" xfId="720" xr:uid="{C308B653-512E-42D6-9CC8-7DD3683CF22C}"/>
    <cellStyle name="Output 2 4 2" xfId="1006" xr:uid="{0F4327E3-3483-44D8-B187-900A6BD7B17D}"/>
    <cellStyle name="Output 2 4 3" xfId="1703" xr:uid="{8C782350-385B-4720-B6B0-70CB8294023F}"/>
    <cellStyle name="Output 2 4 4" xfId="2075" xr:uid="{7D6CD64C-4469-495B-827B-5E6C6A31E1D0}"/>
    <cellStyle name="Output 2 5" xfId="87" xr:uid="{9D4C49D8-F597-4296-B7DE-8A4A3F43312A}"/>
    <cellStyle name="Output 2 6" xfId="1391" xr:uid="{70B35171-F9BC-4CD2-89B6-EEF074A0BA30}"/>
    <cellStyle name="Output 3" xfId="271" xr:uid="{0EC30E23-59F2-40FB-B3E4-DAB697CF6289}"/>
    <cellStyle name="Output 3 2" xfId="624" xr:uid="{D4F024F1-2E1C-4A37-A9ED-146DAE375CFF}"/>
    <cellStyle name="Output 3 2 2" xfId="839" xr:uid="{D258A8DB-163C-4EE8-95A5-10DF84770D00}"/>
    <cellStyle name="Output 3 2 2 2" xfId="962" xr:uid="{E078F791-9B96-4B01-A0B8-3E4140661B17}"/>
    <cellStyle name="Output 3 2 2 3" xfId="1815" xr:uid="{078BCC93-42F7-4217-A265-E3C4627A76F7}"/>
    <cellStyle name="Output 3 2 2 4" xfId="2186" xr:uid="{C5BD2B89-6BC7-4A67-BA58-C75D7C4BA65A}"/>
    <cellStyle name="Output 3 2 3" xfId="1037" xr:uid="{EC2B3B1E-4F49-4513-B4E9-E9EEADE546C9}"/>
    <cellStyle name="Output 3 2 4" xfId="1608" xr:uid="{C4A5C8A2-090F-47E8-8E51-46DB4104FF3D}"/>
    <cellStyle name="Output 3 2 5" xfId="1980" xr:uid="{8A83AAD3-5E7F-4AFF-BAEA-801E4C1FC675}"/>
    <cellStyle name="Output 3 3" xfId="675" xr:uid="{0E7B6ADD-01A8-42CF-9159-85D72562E347}"/>
    <cellStyle name="Output 3 3 2" xfId="890" xr:uid="{D2AF7745-4130-47AC-9B26-C1D6FB99BEEB}"/>
    <cellStyle name="Output 3 3 2 2" xfId="1047" xr:uid="{C1818E14-BFE0-42B3-ABF2-7A2041F4CE3C}"/>
    <cellStyle name="Output 3 3 2 3" xfId="1866" xr:uid="{EEFB55FC-1B36-49B7-AD3E-DFA92BB0A98F}"/>
    <cellStyle name="Output 3 3 2 4" xfId="2237" xr:uid="{AAB30F0D-E9D2-496A-85A7-091879C4C964}"/>
    <cellStyle name="Output 3 3 3" xfId="1240" xr:uid="{DC7F4D82-09B6-401E-AEE3-6B7D3134FFDD}"/>
    <cellStyle name="Output 3 3 4" xfId="1659" xr:uid="{41C5FA9C-4E25-40A9-9E29-5181FAB8A4BD}"/>
    <cellStyle name="Output 3 3 5" xfId="2031" xr:uid="{D6FA5E7B-BFB9-4163-A102-6DCE2A118BCA}"/>
    <cellStyle name="Output 3 4" xfId="725" xr:uid="{D13EF06C-4A9C-46B0-91CF-E7E16F15B496}"/>
    <cellStyle name="Output 3 4 2" xfId="1422" xr:uid="{3B7A626F-AC41-4E9C-9FDA-1DFCDF3FEA38}"/>
    <cellStyle name="Output 3 4 3" xfId="1708" xr:uid="{3DEA6FE4-FD71-4DA7-A1C9-1B9B74B2E91E}"/>
    <cellStyle name="Output 3 4 4" xfId="2080" xr:uid="{D72C3043-D569-45AE-8544-776968CA86A3}"/>
    <cellStyle name="Output 3 5" xfId="1135" xr:uid="{1F0A792B-C4AE-4AF6-A24C-2AC04F187CE8}"/>
    <cellStyle name="Output 3 6" xfId="1379" xr:uid="{031EFE98-3FE2-473F-96BD-67CC9F518761}"/>
    <cellStyle name="Pattern" xfId="208" xr:uid="{136ED33B-3EEB-4681-8031-4B01A58E4322}"/>
    <cellStyle name="Pattern 2" xfId="468" xr:uid="{EE350883-D5F5-44B8-89F8-0D8C98489039}"/>
    <cellStyle name="Pattern 2 2" xfId="611" xr:uid="{17E15985-79BC-4F93-8417-87B8581B7C5C}"/>
    <cellStyle name="Pattern 2 2 2" xfId="826" xr:uid="{75B03568-AE15-4630-9BAD-06D79E8AACF6}"/>
    <cellStyle name="Pattern 2 2 2 2" xfId="1490" xr:uid="{1AA162C1-D401-4D58-A37B-D40C5E5FA9FB}"/>
    <cellStyle name="Pattern 2 2 2 3" xfId="1802" xr:uid="{BA9C961D-B1DE-4235-8C2B-A21A43428E37}"/>
    <cellStyle name="Pattern 2 2 2 4" xfId="2173" xr:uid="{268AC5EA-1114-466A-A89E-C772EDF0BEB5}"/>
    <cellStyle name="Pattern 2 2 3" xfId="1486" xr:uid="{107E9CD1-62F4-43F9-82BA-FF4D49F20986}"/>
    <cellStyle name="Pattern 2 2 4" xfId="1595" xr:uid="{E08FB928-FDC6-4F95-B644-242226CB079D}"/>
    <cellStyle name="Pattern 2 2 5" xfId="1967" xr:uid="{B99A0F4C-5C5D-4689-936D-767E8E70583F}"/>
    <cellStyle name="Pattern 2 3" xfId="757" xr:uid="{4EF9ED1D-EFB7-45FE-BC6F-3C58D38C6B1F}"/>
    <cellStyle name="Pattern 2 3 2" xfId="1012" xr:uid="{A638A903-3F9F-49F7-A080-79FB14DA3D52}"/>
    <cellStyle name="Pattern 2 3 3" xfId="1733" xr:uid="{4A31E180-D460-445E-B143-42342BF16666}"/>
    <cellStyle name="Pattern 2 3 4" xfId="2104" xr:uid="{B28DB03F-A24D-450D-9FAC-E38B50397356}"/>
    <cellStyle name="Pattern 3" xfId="317" xr:uid="{BCF37D9D-8E9A-467C-B3AC-749B72D8CF21}"/>
    <cellStyle name="Pattern 3 2" xfId="654" xr:uid="{C9470365-C00B-4573-83D0-02048935C5C5}"/>
    <cellStyle name="Pattern 3 2 2" xfId="869" xr:uid="{B45891CB-B0E4-401F-A3ED-D686D871A47E}"/>
    <cellStyle name="Pattern 3 2 2 2" xfId="1456" xr:uid="{6362F28F-77EF-4C8D-8919-22F491A7A632}"/>
    <cellStyle name="Pattern 3 2 2 3" xfId="1845" xr:uid="{43825284-B39B-4003-B38E-642443A7EAB3}"/>
    <cellStyle name="Pattern 3 2 2 4" xfId="2216" xr:uid="{B10F69BF-61EA-4A47-92A2-686AA8762436}"/>
    <cellStyle name="Pattern 3 2 3" xfId="1448" xr:uid="{F7AC9E71-422D-4127-ABB8-5A45C2CDAD1C}"/>
    <cellStyle name="Pattern 3 2 4" xfId="1638" xr:uid="{E04139EC-DE39-4D87-AE8D-30A50E5065EF}"/>
    <cellStyle name="Pattern 3 2 5" xfId="2010" xr:uid="{73A5B151-5955-445A-82CE-1C84DDEFF0E5}"/>
    <cellStyle name="Pattern 3 3" xfId="553" xr:uid="{B787B221-1600-4D42-A6AF-F047590AAA62}"/>
    <cellStyle name="Pattern 3 3 2" xfId="768" xr:uid="{0E993DAE-78B3-44B0-A4DC-0B3E34FE79BC}"/>
    <cellStyle name="Pattern 3 3 2 2" xfId="1150" xr:uid="{72D211BF-16A2-4193-9657-52EE9FDDB82F}"/>
    <cellStyle name="Pattern 3 3 2 3" xfId="1744" xr:uid="{2BCB60D0-FF05-49B8-AE5E-348E5EBCBBDC}"/>
    <cellStyle name="Pattern 3 3 2 4" xfId="2115" xr:uid="{1E13D505-4BB1-43B0-A3B9-2F26D3690EEC}"/>
    <cellStyle name="Pattern 3 3 3" xfId="1086" xr:uid="{62C59F58-A036-4E66-BCF8-1BAC17137C2F}"/>
    <cellStyle name="Pattern 3 3 4" xfId="1537" xr:uid="{672E3245-CF56-4D08-A328-CA6622C76C70}"/>
    <cellStyle name="Pattern 3 3 5" xfId="1909" xr:uid="{48C5001E-DD46-463E-8164-9ED261AEB894}"/>
    <cellStyle name="Pattern 3 4" xfId="667" xr:uid="{6CCB5444-5E8A-4498-BA87-58C9CD349335}"/>
    <cellStyle name="Pattern 3 4 2" xfId="882" xr:uid="{561442E4-E938-4D1E-A811-A83F6D161FE5}"/>
    <cellStyle name="Pattern 3 4 2 2" xfId="1373" xr:uid="{2B78BF58-BCEB-4FF6-80DD-DC0B559B5DFE}"/>
    <cellStyle name="Pattern 3 4 2 3" xfId="1858" xr:uid="{A91A3EF3-19DE-44A3-9FA1-DF450A9EF120}"/>
    <cellStyle name="Pattern 3 4 2 4" xfId="2229" xr:uid="{C77DC747-FCE8-45DB-AC84-08B7F2BAB1F3}"/>
    <cellStyle name="Pattern 3 4 3" xfId="1280" xr:uid="{1CA7922C-BD0A-4A61-A39E-011654C0B5A3}"/>
    <cellStyle name="Pattern 3 4 4" xfId="1651" xr:uid="{BC7AD41E-6D4B-48E0-9765-031DC7DFB495}"/>
    <cellStyle name="Pattern 3 4 5" xfId="2023" xr:uid="{DBE1590D-33BE-4E60-97E9-99A576252147}"/>
    <cellStyle name="Pattern 3 5" xfId="1194" xr:uid="{A146E511-519A-4982-8F64-1F2A42EA944B}"/>
    <cellStyle name="Pattern 3 6" xfId="1365" xr:uid="{C44DF6BC-504D-493F-9D04-9E85ABA6FD2B}"/>
    <cellStyle name="Pattern 3 7" xfId="1326" xr:uid="{1A8380B2-9E18-4946-8281-930E51BDB9B1}"/>
    <cellStyle name="Percent" xfId="2" builtinId="5"/>
    <cellStyle name="Percent [0]" xfId="2311" xr:uid="{ACBE3C32-B3BB-42B1-97BB-BFFF42B217AA}"/>
    <cellStyle name="Percent [00]" xfId="2312" xr:uid="{8B014110-0414-4435-B265-0CB57A4F6CAB}"/>
    <cellStyle name="Percent 10" xfId="2353" xr:uid="{06A46F7A-6AA1-4A6F-9674-15FBAC1AC208}"/>
    <cellStyle name="Percent 11" xfId="2350" xr:uid="{5D11DFB9-15C2-4EEC-80C3-CB085679F115}"/>
    <cellStyle name="Percent 12" xfId="2381" xr:uid="{F32CDD0D-7045-4260-BE18-39BF465A6C59}"/>
    <cellStyle name="Percent 13" xfId="2383" xr:uid="{C122F87C-0073-4A64-9A9B-899EF0DC6A10}"/>
    <cellStyle name="Percent 14" xfId="2386" xr:uid="{39C4F53C-7545-44DD-80DD-3F2C85EB280D}"/>
    <cellStyle name="Percent 15" xfId="2389" xr:uid="{A9D9CA2B-0940-4E0C-8A98-71B72623F8B3}"/>
    <cellStyle name="Percent 16" xfId="2391" xr:uid="{86B1C0A3-769B-4F47-B853-03E2A908237F}"/>
    <cellStyle name="Percent 17" xfId="2392" xr:uid="{4BB185D4-C136-4671-80B6-5CA920DF86CF}"/>
    <cellStyle name="Percent 18" xfId="2396" xr:uid="{E7036EF1-C3EE-4F7F-9109-79858FCC6B3E}"/>
    <cellStyle name="Percent 19" xfId="2398" xr:uid="{60E5DD03-36AF-4009-A45B-D19497040097}"/>
    <cellStyle name="Percent 2" xfId="4" xr:uid="{00000000-0005-0000-0000-000033000000}"/>
    <cellStyle name="Percent 2 2" xfId="469" xr:uid="{B7731F24-3841-4E9B-A80D-5768233860CE}"/>
    <cellStyle name="Percent 2 2 2" xfId="2375" xr:uid="{6F1F6331-87E6-4308-805E-20DEF0F1B323}"/>
    <cellStyle name="Percent 2 3" xfId="209" xr:uid="{D0EC9562-87BC-41BC-A622-F0DB2864B260}"/>
    <cellStyle name="Percent 2 4" xfId="2331" xr:uid="{1B0F09AE-D05C-4284-95A3-C4E99532E7FF}"/>
    <cellStyle name="Percent 20" xfId="2401" xr:uid="{9E8BB9A7-AC31-4883-9CC4-23711E095724}"/>
    <cellStyle name="Percent 21" xfId="2407" xr:uid="{0CE4C7B5-9A92-4A6C-8F67-B2ABEDD15C96}"/>
    <cellStyle name="Percent 22" xfId="2408" xr:uid="{A9ABE19C-9DDA-46E4-B42C-8C261D2DDDAF}"/>
    <cellStyle name="Percent 23" xfId="2404" xr:uid="{E185B826-BD49-4D95-9F6D-DC9CF0E164CD}"/>
    <cellStyle name="Percent 24" xfId="2402" xr:uid="{9580692A-5712-4444-A762-EEBC72043F94}"/>
    <cellStyle name="Percent 25" xfId="2412" xr:uid="{5E8DB8EB-5909-438B-BC01-210E399ED046}"/>
    <cellStyle name="Percent 26" xfId="2418" xr:uid="{3EFDE903-AA88-4C11-9241-1A8317EA8CD4}"/>
    <cellStyle name="Percent 27" xfId="2420" xr:uid="{B971D19D-4306-4D0D-A423-F1BC0B630993}"/>
    <cellStyle name="Percent 28" xfId="2424" xr:uid="{7F23E400-0F68-4BC4-A6C5-7FFDEC0C2B2F}"/>
    <cellStyle name="Percent 29" xfId="2357" xr:uid="{FC0F2C7A-6CE2-4488-8B3E-25089EE74041}"/>
    <cellStyle name="Percent 29 2" xfId="2432" xr:uid="{CFEEC5C4-793D-489E-B2F4-80EBC5183478}"/>
    <cellStyle name="Percent 3" xfId="18" xr:uid="{00000000-0005-0000-0000-000040000000}"/>
    <cellStyle name="Percent 30" xfId="2362" xr:uid="{0BACBDAE-8DD2-4B3C-8CA7-A282927CFB98}"/>
    <cellStyle name="Percent 31" xfId="2367" xr:uid="{9FF6D101-375F-4ACD-AFD7-778B3F48DC1D}"/>
    <cellStyle name="Percent 32" xfId="2426" xr:uid="{2E177037-226D-4093-A52F-CA9CBE790021}"/>
    <cellStyle name="Percent 33" xfId="2429" xr:uid="{90CE3732-0256-4B2D-9AAF-3E27D0D3EF28}"/>
    <cellStyle name="Percent 34" xfId="2434" xr:uid="{95F8394F-1FCE-4DB8-8606-14AACC35D758}"/>
    <cellStyle name="Percent 35" xfId="2439" xr:uid="{ADF44510-158F-4A0B-863E-265778F7C137}"/>
    <cellStyle name="Percent 4" xfId="2273" xr:uid="{5DF98D7E-FD6E-46BD-813B-01723CC8CA1F}"/>
    <cellStyle name="Percent 4 2" xfId="2324" xr:uid="{AC0056FE-62E7-4BF4-810C-0F87E7E722F1}"/>
    <cellStyle name="Percent 5" xfId="2342" xr:uid="{B539F97C-BDC6-4E2F-A237-3530C90B52B4}"/>
    <cellStyle name="Percent 6" xfId="2344" xr:uid="{5BA97C19-6B63-4968-A3E7-705B705A31C4}"/>
    <cellStyle name="Percent 7" xfId="2345" xr:uid="{94AE148A-32E3-449B-96F3-8CBCFFFE3E8F}"/>
    <cellStyle name="Percent 8" xfId="2348" xr:uid="{87FE971B-A4D8-4FCD-BD68-87CBC5BCFE81}"/>
    <cellStyle name="Percent 9" xfId="2352" xr:uid="{63B4FAFD-8FB3-49B3-BEF0-9A5A61B5003D}"/>
    <cellStyle name="PrePop Currency (0)" xfId="2313" xr:uid="{85DB8215-2408-467F-9B90-59835F644856}"/>
    <cellStyle name="PrePop Currency (2)" xfId="2314" xr:uid="{AA9F36CD-5E52-4B4A-9B32-00AC09E6066C}"/>
    <cellStyle name="PrePop Units (0)" xfId="2315" xr:uid="{7A7C5C3A-7493-4923-942C-84E5F5973F5E}"/>
    <cellStyle name="PrePop Units (1)" xfId="2316" xr:uid="{AF59C23D-3433-4481-985A-4250FF8655E0}"/>
    <cellStyle name="PrePop Units (2)" xfId="2317" xr:uid="{C8F1BDB3-10AE-491E-9B55-C93A43310B8B}"/>
    <cellStyle name="RowLevel_1 2" xfId="112" xr:uid="{F9728D53-E7C9-433C-B245-99978082DAB2}"/>
    <cellStyle name="Schlecht" xfId="210" xr:uid="{E2610A2B-6E68-435B-B070-B3569F6913EA}"/>
    <cellStyle name="Shade" xfId="44" xr:uid="{F630A14B-1494-4641-8ECA-03494F85A4FC}"/>
    <cellStyle name="Shade 2" xfId="211" xr:uid="{4EE3E57B-49B9-4A90-B9CD-4CAEAE2E0F0C}"/>
    <cellStyle name="Shade 2 2" xfId="471" xr:uid="{8A42CCC8-9F89-4010-A5AA-E410B8E280F5}"/>
    <cellStyle name="Shade 2 2 2" xfId="556" xr:uid="{4841DE88-3729-47C1-9148-E9A9B5825B88}"/>
    <cellStyle name="Shade 2 2 2 2" xfId="771" xr:uid="{E8BCF62F-B8D2-4928-99D4-7C426C346C4A}"/>
    <cellStyle name="Shade 2 2 2 2 2" xfId="1334" xr:uid="{8A5B4C35-7FD7-46F0-9B48-E96A52427720}"/>
    <cellStyle name="Shade 2 2 2 2 3" xfId="1747" xr:uid="{6DAF0EB9-72A9-4460-9220-185CCF995A5B}"/>
    <cellStyle name="Shade 2 2 2 2 4" xfId="2118" xr:uid="{19F3AB12-4304-4C4F-AD06-DD4306FF8724}"/>
    <cellStyle name="Shade 2 2 2 3" xfId="1357" xr:uid="{31FCB69A-9583-40A2-819A-F1696FA75D32}"/>
    <cellStyle name="Shade 2 2 2 4" xfId="1540" xr:uid="{A4CD1B5D-E7EC-4CB6-9580-21D6479AFB8A}"/>
    <cellStyle name="Shade 2 2 2 5" xfId="1912" xr:uid="{28DF5EE8-DB25-47C7-B117-FC8B8BEDCCF6}"/>
    <cellStyle name="Shade 2 2 3" xfId="759" xr:uid="{2B131FBE-3526-4608-A1D4-E623E45193DE}"/>
    <cellStyle name="Shade 2 2 3 2" xfId="1164" xr:uid="{F49DBAC4-0E14-41D5-9315-C86089F1EE37}"/>
    <cellStyle name="Shade 2 2 3 3" xfId="1735" xr:uid="{619F63CA-DF4B-4348-BAB5-046317A95C36}"/>
    <cellStyle name="Shade 2 2 3 4" xfId="2106" xr:uid="{64E97FA5-41F3-4195-8DAC-EDD0BB215FAE}"/>
    <cellStyle name="Shade 2 3" xfId="319" xr:uid="{E149D91A-43FA-441C-88B4-7BB71193A5E2}"/>
    <cellStyle name="Shade 2 3 2" xfId="656" xr:uid="{58326BD6-5F24-479C-B363-97105AA4447E}"/>
    <cellStyle name="Shade 2 3 2 2" xfId="871" xr:uid="{02406FD1-FEB9-4D28-8CC8-04C4CE39CC46}"/>
    <cellStyle name="Shade 2 3 2 2 2" xfId="1412" xr:uid="{F7D70E4C-4279-4926-886A-9F33B3CF4210}"/>
    <cellStyle name="Shade 2 3 2 2 3" xfId="1847" xr:uid="{964F938C-3255-45F3-9232-5603A91C8C4C}"/>
    <cellStyle name="Shade 2 3 2 2 4" xfId="2218" xr:uid="{F458A3EE-90C7-42F8-B0E2-49B53FE5419C}"/>
    <cellStyle name="Shade 2 3 2 3" xfId="1319" xr:uid="{3C18FE7D-8E65-4D12-9DAB-952DA4F43F8C}"/>
    <cellStyle name="Shade 2 3 2 4" xfId="1640" xr:uid="{A2ACD4B1-F3E7-408A-B89E-452371257C08}"/>
    <cellStyle name="Shade 2 3 2 5" xfId="2012" xr:uid="{6D0F5351-A701-46A1-A26A-48FF96D227A0}"/>
    <cellStyle name="Shade 2 3 3" xfId="685" xr:uid="{FBC50A77-549F-4F2F-9AC1-3AB58F5F0589}"/>
    <cellStyle name="Shade 2 3 3 2" xfId="900" xr:uid="{48CF8617-73E9-481C-A831-648571B5A93E}"/>
    <cellStyle name="Shade 2 3 3 2 2" xfId="1048" xr:uid="{34FC2936-BAF6-4AB1-ADF3-DB1499F30004}"/>
    <cellStyle name="Shade 2 3 3 2 3" xfId="1876" xr:uid="{92C36639-92A7-47BB-BF11-2A57C1B6EE7F}"/>
    <cellStyle name="Shade 2 3 3 2 4" xfId="2247" xr:uid="{0C6C847A-C239-4144-A344-CDD17DAB9ADF}"/>
    <cellStyle name="Shade 2 3 3 3" xfId="1209" xr:uid="{F110FEC8-CA79-45DD-AAB3-C413770B8FC2}"/>
    <cellStyle name="Shade 2 3 3 4" xfId="1669" xr:uid="{62C83B20-973C-4AE6-8078-B8D1285BE248}"/>
    <cellStyle name="Shade 2 3 3 5" xfId="2041" xr:uid="{4BC3D7C1-C2DF-42B6-903D-995BBDDB308B}"/>
    <cellStyle name="Shade 2 3 4" xfId="599" xr:uid="{E96965F2-D479-4C95-A26A-9B8D8DA2B212}"/>
    <cellStyle name="Shade 2 3 4 2" xfId="814" xr:uid="{440E4484-1156-4C16-9163-DE8A4B184E01}"/>
    <cellStyle name="Shade 2 3 4 2 2" xfId="1160" xr:uid="{2D895A38-7390-4D61-AAB3-3CD5E638EA68}"/>
    <cellStyle name="Shade 2 3 4 2 3" xfId="1790" xr:uid="{C31C8760-F604-4DFA-961B-E17A47FBA8DA}"/>
    <cellStyle name="Shade 2 3 4 2 4" xfId="2161" xr:uid="{90F08D53-F750-485E-8189-A6D715A36754}"/>
    <cellStyle name="Shade 2 3 4 3" xfId="1196" xr:uid="{1D104EEC-B6C4-4F82-AFE5-D50550AC2DB9}"/>
    <cellStyle name="Shade 2 3 4 4" xfId="1583" xr:uid="{A5C0814A-A57E-44D7-8806-CCF1BF7D139D}"/>
    <cellStyle name="Shade 2 3 4 5" xfId="1955" xr:uid="{419EA06C-B184-488B-A88D-5D66F7E578EB}"/>
    <cellStyle name="Shade 2 3 5" xfId="1054" xr:uid="{F9DFE55D-CD63-4980-AD6B-B92E38FF674D}"/>
    <cellStyle name="Shade 2 3 6" xfId="1235" xr:uid="{194D5AF8-46E2-4F59-A715-D97710383E6C}"/>
    <cellStyle name="Shade 2 3 7" xfId="1336" xr:uid="{B7A37E7D-5D92-4CF5-BDCD-1BC20E77D307}"/>
    <cellStyle name="Shade 3" xfId="470" xr:uid="{1CAD7BE9-BDDF-4F40-A159-C11BE15DF81E}"/>
    <cellStyle name="Shade 3 2" xfId="610" xr:uid="{D688AC2A-8E71-485B-B233-9A0D7448BA3B}"/>
    <cellStyle name="Shade 3 2 2" xfId="825" xr:uid="{28BF26B2-27F7-40A6-8282-E6B021856D09}"/>
    <cellStyle name="Shade 3 2 2 2" xfId="928" xr:uid="{7B547943-F4CC-461B-85F7-2159DD5CAAE0}"/>
    <cellStyle name="Shade 3 2 2 3" xfId="1801" xr:uid="{F54AB3D8-ED5F-4DC3-B411-DDF4F1EA7D0F}"/>
    <cellStyle name="Shade 3 2 2 4" xfId="2172" xr:uid="{007B50FB-2DE7-4206-9F55-0A4D9CDBB204}"/>
    <cellStyle name="Shade 3 2 3" xfId="1289" xr:uid="{3BC25239-D5A5-4288-86E1-D10C3CB74D4B}"/>
    <cellStyle name="Shade 3 2 4" xfId="1594" xr:uid="{A702D2F8-6E8F-4EE5-B842-3342CA90D257}"/>
    <cellStyle name="Shade 3 2 5" xfId="1966" xr:uid="{359A1970-E0DB-414A-98A6-2D0F4C6AD304}"/>
    <cellStyle name="Shade 3 3" xfId="758" xr:uid="{0FE98B01-9940-4060-BC24-6BABD13A4BB4}"/>
    <cellStyle name="Shade 3 3 2" xfId="34" xr:uid="{C9B267FE-5EB0-4888-8897-BF03FD87E35F}"/>
    <cellStyle name="Shade 3 3 3" xfId="1734" xr:uid="{18D0BBF5-C95A-431F-BDBF-19777FA39B30}"/>
    <cellStyle name="Shade 3 3 4" xfId="2105" xr:uid="{F59A167E-1805-4181-A154-1A054422B1FD}"/>
    <cellStyle name="Shade 4" xfId="318" xr:uid="{9512FEE5-865D-4C5D-91FA-C9D24CA7DB88}"/>
    <cellStyle name="Shade 4 2" xfId="66" xr:uid="{1411666E-6855-45BD-B9FF-27E8401F3B30}"/>
    <cellStyle name="Shade 4 2 2" xfId="655" xr:uid="{205242D5-E221-49FB-91CA-973D17C7F624}"/>
    <cellStyle name="Shade 4 2 2 2" xfId="1291" xr:uid="{4FAD3C58-40CD-4090-9BBF-EBEECBDDD1EB}"/>
    <cellStyle name="Shade 4 2 2 3" xfId="1639" xr:uid="{B4A27CB1-3045-45F4-A8E3-5F8282C2D151}"/>
    <cellStyle name="Shade 4 2 2 4" xfId="2011" xr:uid="{D50A87DC-CD21-4697-B6CC-6640528C29DC}"/>
    <cellStyle name="Shade 4 2 3" xfId="870" xr:uid="{0919CB36-079A-42AC-8C6C-94C63975CD52}"/>
    <cellStyle name="Shade 4 2 3 2" xfId="947" xr:uid="{6A7577C9-9DEB-463A-A4E9-00F726CADDF3}"/>
    <cellStyle name="Shade 4 2 3 3" xfId="1846" xr:uid="{65DA7CAF-BD38-4874-BDD7-DFD5BD914E14}"/>
    <cellStyle name="Shade 4 2 3 4" xfId="2217" xr:uid="{714320FB-691B-40BA-BC35-7C411B117686}"/>
    <cellStyle name="Shade 4 3" xfId="684" xr:uid="{DA2745D0-0963-43A1-B8CE-C3F324C7EC68}"/>
    <cellStyle name="Shade 4 3 2" xfId="899" xr:uid="{A7121AD8-0124-4CB3-AD86-9FA1E6DCC7DE}"/>
    <cellStyle name="Shade 4 3 2 2" xfId="1249" xr:uid="{71D107E2-96D5-4FA3-B61C-D641E06842A6}"/>
    <cellStyle name="Shade 4 3 2 3" xfId="1875" xr:uid="{AEFAAD41-D59C-4E18-AA36-230194F894FF}"/>
    <cellStyle name="Shade 4 3 2 4" xfId="2246" xr:uid="{2F3594DB-F961-4CEC-9112-E82AD28E36B5}"/>
    <cellStyle name="Shade 4 3 3" xfId="1112" xr:uid="{99886F92-7EB3-4F96-8FA5-EA0DFCFC69A8}"/>
    <cellStyle name="Shade 4 3 4" xfId="1668" xr:uid="{F57C74FD-BEA7-4C13-905D-158E5E36DA2D}"/>
    <cellStyle name="Shade 4 3 5" xfId="2040" xr:uid="{A9C5833B-DBDE-4AFA-89B2-374BA161C6DA}"/>
    <cellStyle name="Shade 4 4" xfId="546" xr:uid="{89DB9F0B-57EB-44C1-8A1E-C4109F766CA6}"/>
    <cellStyle name="Shade 4 4 2" xfId="761" xr:uid="{C0F81780-3DF6-4BC1-9137-E4C554EC5356}"/>
    <cellStyle name="Shade 4 4 2 2" xfId="1310" xr:uid="{8BA21336-27C6-4121-B580-6A81CC429A45}"/>
    <cellStyle name="Shade 4 4 2 3" xfId="1737" xr:uid="{10506766-283C-4147-849C-C7987F828A53}"/>
    <cellStyle name="Shade 4 4 2 4" xfId="2108" xr:uid="{96499646-41C9-4FAC-BB61-0922932708DC}"/>
    <cellStyle name="Shade 4 4 3" xfId="1034" xr:uid="{0CA3A054-3480-468D-9FB0-2A5C31533CBB}"/>
    <cellStyle name="Shade 4 4 4" xfId="1530" xr:uid="{E9540CF7-3960-43C3-92AD-C45F777255F7}"/>
    <cellStyle name="Shade 4 4 5" xfId="1902" xr:uid="{455D0E3A-7F05-4BE7-98D4-E65C6AD47124}"/>
    <cellStyle name="Shade 4 5" xfId="95" xr:uid="{A02540C4-2C14-4633-99C0-23AA19A568E1}"/>
    <cellStyle name="Shade 4 6" xfId="1366" xr:uid="{7384B4CA-40E8-4E5C-850F-D107986B3626}"/>
    <cellStyle name="Shade 4 7" xfId="72" xr:uid="{01F9EBF4-E4A7-45C3-945C-5E6172CF964F}"/>
    <cellStyle name="Shade 5" xfId="109" xr:uid="{2D242A0E-4A30-4FD5-9182-814C026F135B}"/>
    <cellStyle name="Shade_B_border2" xfId="212" xr:uid="{42433D35-2F95-4322-8F65-A7C3ACD262CC}"/>
    <cellStyle name="Standard 2" xfId="64" xr:uid="{10022683-5198-4F1E-889C-79C2E19C6155}"/>
    <cellStyle name="Standard 2 2" xfId="431" xr:uid="{CBBF8DE0-7735-4356-882E-602981AF52B2}"/>
    <cellStyle name="Standard 2 2 2" xfId="541" xr:uid="{0374918A-8633-4621-AFD7-097470C75FCF}"/>
    <cellStyle name="Standard 2 3" xfId="540" xr:uid="{44AA112E-845D-42F6-BE1B-1B129DB6ED11}"/>
    <cellStyle name="Text Indent A" xfId="2318" xr:uid="{0E5F0BDF-D17B-4BBE-AFD1-77ABC659F6B1}"/>
    <cellStyle name="Text Indent B" xfId="2319" xr:uid="{35451573-9FBF-4715-B176-E98A6C30F070}"/>
    <cellStyle name="Text Indent C" xfId="2320" xr:uid="{4985E436-517B-436B-B6EC-62EDF31058BD}"/>
    <cellStyle name="Title 2" xfId="213" xr:uid="{82E91253-8A43-4229-BC97-544A95C7CAA3}"/>
    <cellStyle name="Title 3" xfId="272" xr:uid="{9D9DAD4D-ACFF-4F05-A308-35C973F99CE5}"/>
    <cellStyle name="Total 2" xfId="214" xr:uid="{74192B6C-7722-41C9-905E-D209A6D26201}"/>
    <cellStyle name="Total 2 2" xfId="601" xr:uid="{4E661EEC-3A21-4F1B-917F-61FC8BDB7F7F}"/>
    <cellStyle name="Total 2 2 2" xfId="816" xr:uid="{8ACDE474-E26B-4551-9546-57E2ADB686B1}"/>
    <cellStyle name="Total 2 2 2 2" xfId="1244" xr:uid="{51E66D8D-576C-4F3A-A67F-E0D57C28CB52}"/>
    <cellStyle name="Total 2 2 2 3" xfId="1792" xr:uid="{AE672619-C0C6-4694-93F2-BA610177BB9F}"/>
    <cellStyle name="Total 2 2 2 4" xfId="2163" xr:uid="{5E48ED89-C1D5-487A-B492-45AC5A013376}"/>
    <cellStyle name="Total 2 2 3" xfId="1042" xr:uid="{2FF27328-3844-457D-BF55-10F914DB050A}"/>
    <cellStyle name="Total 2 2 4" xfId="1585" xr:uid="{A58643AA-EBDA-47C8-8784-09F64C0DA34A}"/>
    <cellStyle name="Total 2 2 5" xfId="1957" xr:uid="{FAB6A7DB-A8C0-4850-9EF9-118C2DC33E94}"/>
    <cellStyle name="Total 2 3" xfId="662" xr:uid="{D2BDCBA3-6846-460D-B5E7-646DEC9C15E1}"/>
    <cellStyle name="Total 2 3 2" xfId="877" xr:uid="{5517840B-4695-43BD-A720-E5689AD6139C}"/>
    <cellStyle name="Total 2 3 2 2" xfId="1262" xr:uid="{80BD5F66-BE42-4442-B53B-39D96537DEDC}"/>
    <cellStyle name="Total 2 3 2 3" xfId="1853" xr:uid="{A8C2F10B-5FED-4664-9133-6F43ED41C745}"/>
    <cellStyle name="Total 2 3 2 4" xfId="2224" xr:uid="{010B1F17-8E68-4647-8B6D-E3BCE6638A88}"/>
    <cellStyle name="Total 2 3 3" xfId="1123" xr:uid="{C3A6B7DF-1FE2-4259-8902-D777881A5E60}"/>
    <cellStyle name="Total 2 3 4" xfId="1646" xr:uid="{560FDC31-45D3-4B40-9B18-3E4896317B3F}"/>
    <cellStyle name="Total 2 3 5" xfId="2018" xr:uid="{3E376DEC-198D-4976-BA2A-6F14FEDB33CD}"/>
    <cellStyle name="Total 2 4" xfId="550" xr:uid="{0B64B0BD-158C-4019-AB69-49B27A27D7C9}"/>
    <cellStyle name="Total 2 4 2" xfId="765" xr:uid="{0609F6C6-4F01-43CC-8EC7-C581FBA8E1E5}"/>
    <cellStyle name="Total 2 4 2 2" xfId="1075" xr:uid="{2EF0F702-6BB1-4866-A8E1-F669E1FCAD91}"/>
    <cellStyle name="Total 2 4 2 3" xfId="1741" xr:uid="{52819D54-D41E-4493-8483-1C34EB164D7E}"/>
    <cellStyle name="Total 2 4 2 4" xfId="2112" xr:uid="{A0A65F28-7301-4107-9DDA-082C0A1896B6}"/>
    <cellStyle name="Total 2 4 3" xfId="1005" xr:uid="{FC6C6DFF-1F38-42D3-971E-089883E164A7}"/>
    <cellStyle name="Total 2 4 4" xfId="1534" xr:uid="{8A046B25-123B-4328-9CB3-F0B315284B12}"/>
    <cellStyle name="Total 2 4 5" xfId="1906" xr:uid="{1C896369-C2F0-4AC6-B770-2D07766E02A1}"/>
    <cellStyle name="Total 2 5" xfId="721" xr:uid="{8707D2C5-83B4-438A-834E-2E8F7EC29E68}"/>
    <cellStyle name="Total 2 5 2" xfId="1152" xr:uid="{8FEA4CEA-B20A-47C9-AD84-6A98AC61B9D8}"/>
    <cellStyle name="Total 2 5 3" xfId="1704" xr:uid="{661131B7-F57E-4572-8B8D-9DA0460FA092}"/>
    <cellStyle name="Total 2 5 4" xfId="2076" xr:uid="{749112E4-0FDA-493F-A71D-E4940ECA4E2F}"/>
    <cellStyle name="Total 2 6" xfId="1231" xr:uid="{7228401D-A367-4C32-B6C6-BCFE596152EC}"/>
    <cellStyle name="Total 2 7" xfId="1474" xr:uid="{EC2B0237-5B01-4A9B-9A52-85E8F43E764B}"/>
    <cellStyle name="Total 2 8" xfId="1090" xr:uid="{40075CD5-48A2-449E-85E3-C499EDB86660}"/>
    <cellStyle name="Total 3" xfId="273" xr:uid="{4FDF1F9B-72C8-4AAF-BA51-E2A7F38ED4AF}"/>
    <cellStyle name="Total 3 2" xfId="625" xr:uid="{C65FB08C-04F7-4F58-A0AB-A01811AFC377}"/>
    <cellStyle name="Total 3 2 2" xfId="840" xr:uid="{FD366763-F67C-46C2-A2AB-22A9AD60981B}"/>
    <cellStyle name="Total 3 2 2 2" xfId="1261" xr:uid="{461D25A9-46AE-4136-AFB7-FAFA85149914}"/>
    <cellStyle name="Total 3 2 2 3" xfId="1816" xr:uid="{DB4261D2-2EC2-4D13-97B0-145212C8C76F}"/>
    <cellStyle name="Total 3 2 2 4" xfId="2187" xr:uid="{1C184276-D6A4-4D08-A59C-912504F442C5}"/>
    <cellStyle name="Total 3 2 3" xfId="1018" xr:uid="{57F351C9-BCAE-4771-8D64-61FBA4257ADE}"/>
    <cellStyle name="Total 3 2 4" xfId="1609" xr:uid="{0F619EA4-4532-41E9-9525-3CD345496B5C}"/>
    <cellStyle name="Total 3 2 5" xfId="1981" xr:uid="{957C6D2B-339C-4CB2-ABF8-B83F733F3BD7}"/>
    <cellStyle name="Total 3 3" xfId="588" xr:uid="{9BD86C1B-7DDB-4869-A38C-E4FDFD072BC9}"/>
    <cellStyle name="Total 3 3 2" xfId="803" xr:uid="{366FF4D2-6E93-4188-B89B-E02859634309}"/>
    <cellStyle name="Total 3 3 2 2" xfId="939" xr:uid="{B474EF8B-5AFB-4BCB-9C92-DAD093E49E64}"/>
    <cellStyle name="Total 3 3 2 3" xfId="1779" xr:uid="{A51DC36F-D3E7-4CD0-857D-8E06952C47FA}"/>
    <cellStyle name="Total 3 3 2 4" xfId="2150" xr:uid="{F145A421-91C9-47F1-8C56-4A34644A5EC1}"/>
    <cellStyle name="Total 3 3 3" xfId="1096" xr:uid="{7CEA9882-5060-4462-A0EC-1D4023876F59}"/>
    <cellStyle name="Total 3 3 4" xfId="1572" xr:uid="{49A543CF-A536-4D16-A727-8F3F3F38D736}"/>
    <cellStyle name="Total 3 3 5" xfId="1944" xr:uid="{14491D8A-6A68-4C97-8B23-EEB4556A0B06}"/>
    <cellStyle name="Total 3 4" xfId="629" xr:uid="{F4BD3497-CAD7-4DA1-8311-920F150C4290}"/>
    <cellStyle name="Total 3 4 2" xfId="844" xr:uid="{0A39445F-B1DB-405A-87EE-E106E55A0895}"/>
    <cellStyle name="Total 3 4 2 2" xfId="1154" xr:uid="{B0B79CF7-0561-488A-B08C-4EB860429A81}"/>
    <cellStyle name="Total 3 4 2 3" xfId="1820" xr:uid="{9C951B4B-01FF-40DC-9322-8EB07B99AC6F}"/>
    <cellStyle name="Total 3 4 2 4" xfId="2191" xr:uid="{C0D0C6AC-F859-4C62-8DC7-A8F0C56A155B}"/>
    <cellStyle name="Total 3 4 3" xfId="1234" xr:uid="{19142B37-81B1-4E83-AA8B-058376341F88}"/>
    <cellStyle name="Total 3 4 4" xfId="1613" xr:uid="{29850D33-F413-4352-8C5A-508648038252}"/>
    <cellStyle name="Total 3 4 5" xfId="1985" xr:uid="{B402E14B-5B70-4167-82BD-0DE774FE7A18}"/>
    <cellStyle name="Total 3 5" xfId="726" xr:uid="{216D152E-22C7-416D-85F6-35387B4DEAA1}"/>
    <cellStyle name="Total 3 5 2" xfId="1011" xr:uid="{BD27F918-5697-4225-8645-1399CAD1D59D}"/>
    <cellStyle name="Total 3 5 3" xfId="1709" xr:uid="{234AA65D-7581-45EC-911E-2BC1C45CEE53}"/>
    <cellStyle name="Total 3 5 4" xfId="2081" xr:uid="{7DC8FA6B-EE8C-4655-B90F-8FF7BF23DDF2}"/>
    <cellStyle name="Total 3 6" xfId="934" xr:uid="{8E24F8AB-0221-4E69-80E8-D8078F6D227B}"/>
    <cellStyle name="Total 3 7" xfId="1269" xr:uid="{BA615B22-C5C2-433E-88C2-3399A84C64B0}"/>
    <cellStyle name="Total 3 8" xfId="1388" xr:uid="{6D97217E-053F-4CAB-B2CE-20BF292FB5DB}"/>
    <cellStyle name="Überschrift" xfId="215" xr:uid="{B3231542-4477-4B8E-BFDF-C9FE5A87FB99}"/>
    <cellStyle name="Überschrift 1" xfId="216" xr:uid="{0CA0B2DC-7E94-4530-8F03-0F8F4E0DA56C}"/>
    <cellStyle name="Überschrift 2" xfId="217" xr:uid="{FABFC9D3-F3FF-4423-A763-32036F7222B1}"/>
    <cellStyle name="Überschrift 3" xfId="218" xr:uid="{7AC22335-31D9-4A73-98C4-0C96DE780A9F}"/>
    <cellStyle name="Überschrift 4" xfId="219" xr:uid="{0A5BBB44-1436-4B1F-B30F-32E2E4DA1CE5}"/>
    <cellStyle name="Útreikningur - Samorka" xfId="2338" xr:uid="{8C3855C6-7258-43DC-A115-F12CDA32C7C6}"/>
    <cellStyle name="Verknüpfte Zelle" xfId="220" xr:uid="{02DBAB63-6CD5-474F-A6E0-8AF8F686A617}"/>
    <cellStyle name="Warnender Text" xfId="975" hidden="1" xr:uid="{35404A2A-DA5E-420B-85C2-30C264174801}"/>
    <cellStyle name="Warnender Text" xfId="76" hidden="1" xr:uid="{4989B21B-6A77-45AD-876B-3598219584B6}"/>
    <cellStyle name="Warnender Text" xfId="1230" hidden="1" xr:uid="{14BB2D39-AD02-4113-829B-7160380CE340}"/>
    <cellStyle name="Warnender Text" xfId="1333" hidden="1" xr:uid="{F9C1F569-E237-4F38-8CA1-5A6470D6A058}"/>
    <cellStyle name="Warnender Text" xfId="1137" hidden="1" xr:uid="{2C77890D-7616-4D10-9B8E-90486F1F14B8}"/>
    <cellStyle name="Warnender Text" xfId="1267" hidden="1" xr:uid="{857484DE-6FE7-4CB6-8236-F4A8DED02117}"/>
    <cellStyle name="Warnender Text 2" xfId="430" xr:uid="{A44F75C6-44B8-487C-9B56-8C12879480AB}"/>
    <cellStyle name="Warnender Text 3" xfId="321" xr:uid="{59EA40EF-88F7-4491-B614-0724A280BAB9}"/>
    <cellStyle name="Warning Text 2" xfId="221" xr:uid="{B089E382-AD17-4849-BD4B-992D3808F6B7}"/>
    <cellStyle name="Warning Text 3" xfId="274" xr:uid="{AA187044-F858-45D2-8E24-E05629413621}"/>
    <cellStyle name="Zelle überprüfen" xfId="222" xr:uid="{004F8B6E-6298-45F9-89D2-9245D73740F7}"/>
    <cellStyle name="Гиперссылка" xfId="223" xr:uid="{0CA506AA-9493-465E-BCD2-8E5A4B2A4D6B}"/>
    <cellStyle name="Гиперссылка 2" xfId="224" xr:uid="{B0614C8D-5BD0-433E-9CF7-CAE9897BF1DA}"/>
    <cellStyle name="Гиперссылка 3" xfId="232" xr:uid="{4DEB463D-BFAB-45FA-A53A-5B937017297A}"/>
    <cellStyle name="Гиперссылка 4" xfId="404" xr:uid="{555B5C38-575C-4FCF-906F-6CADF76551F3}"/>
    <cellStyle name="Обычный_2++" xfId="53" xr:uid="{2A8F5320-7E20-4620-8822-E421688964D0}"/>
    <cellStyle name="Обычный_CRF2002 (1)" xfId="15" xr:uid="{5AEF4512-5674-4DF5-B27A-436C5AAEF99D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fill>
        <patternFill patternType="solid">
          <fgColor indexed="64"/>
          <bgColor rgb="FFFFCC00"/>
        </patternFill>
      </fill>
      <alignment horizontal="right" vertical="center" textRotation="0" wrapText="1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0"/>
      </font>
      <fill>
        <patternFill patternType="solid">
          <fgColor theme="4"/>
          <bgColor theme="4" tint="-0.24994659260841701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TableStyleMedium2" defaultPivotStyle="PivotStyleLight16">
    <tableStyle name="To do list for projects" pivot="0" count="3" xr9:uid="{00000000-0011-0000-FFFF-FFFF00000000}">
      <tableStyleElement type="wholeTable" dxfId="8"/>
      <tableStyleElement type="headerRow" dxfId="7"/>
      <tableStyleElement type="first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Basic+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4068773080374278"/>
          <c:y val="0.1551458940412086"/>
          <c:w val="0.46038847904175489"/>
          <c:h val="0.7730897832772167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DD-4CE6-AD7F-7CFF3C3006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561D-4CEE-862C-686C094BE23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A9-4790-8D4E-F76024A3A6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3A-4C83-80B2-185FCE24ABE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BA9-4790-8D4E-F76024A3A6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Mælaborð!$B$11:$B$34</c15:sqref>
                  </c15:fullRef>
                </c:ext>
              </c:extLst>
              <c:f>(Mælaborð!$B$11,Mælaborð!$B$16,Mælaborð!$B$21,Mælaborð!$B$30,Mælaborð!$B$34)</c:f>
              <c:strCache>
                <c:ptCount val="5"/>
                <c:pt idx="0">
                  <c:v>Orkunotkun</c:v>
                </c:pt>
                <c:pt idx="1">
                  <c:v>Samgöngur</c:v>
                </c:pt>
                <c:pt idx="2">
                  <c:v>Úrgangur</c:v>
                </c:pt>
                <c:pt idx="3">
                  <c:v>Landbúnaður og landnotkun</c:v>
                </c:pt>
                <c:pt idx="4">
                  <c:v>Efnanotkun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Mælaborð!$C$11:$C$34</c15:sqref>
                  </c15:fullRef>
                </c:ext>
              </c:extLst>
              <c:f>(Mælaborð!$C$11,Mælaborð!$C$16,Mælaborð!$C$21,Mælaborð!$C$30,Mælaborð!$C$34)</c:f>
              <c:numCache>
                <c:formatCode>0</c:formatCode>
                <c:ptCount val="5"/>
                <c:pt idx="0">
                  <c:v>35457.380559969104</c:v>
                </c:pt>
                <c:pt idx="1">
                  <c:v>321195.69288844545</c:v>
                </c:pt>
                <c:pt idx="2">
                  <c:v>62797.278812701777</c:v>
                </c:pt>
                <c:pt idx="3">
                  <c:v>47647.738997281536</c:v>
                </c:pt>
                <c:pt idx="4">
                  <c:v>40884.329083100427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Mælaborð!$C$14</c15:sqref>
                  <c15:spPr xmlns:c15="http://schemas.microsoft.com/office/drawing/2012/chart"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Mælaborð!$C$18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Mælaborð!$C$19</c15:sqref>
                  <c15:spPr xmlns:c15="http://schemas.microsoft.com/office/drawing/2012/chart">
                    <a:solidFill>
                      <a:schemeClr val="accent3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Mælaborð!$C$26</c15:sqref>
                  <c15:spPr xmlns:c15="http://schemas.microsoft.com/office/drawing/2012/chart"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Mælaborð!$C$27</c15:sqref>
                  <c15:spPr xmlns:c15="http://schemas.microsoft.com/office/drawing/2012/chart">
                    <a:solidFill>
                      <a:schemeClr val="accent5">
                        <a:lumMod val="80000"/>
                        <a:lumOff val="2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Mælaborð!$C$28</c15:sqref>
                  <c15:spPr xmlns:c15="http://schemas.microsoft.com/office/drawing/2012/chart"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Mælaborð!$C$31</c15:sqref>
                  <c15:spPr xmlns:c15="http://schemas.microsoft.com/office/drawing/2012/chart"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Mælaborð!$C$32</c15:sqref>
                  <c15:spPr xmlns:c15="http://schemas.microsoft.com/office/drawing/2012/chart">
                    <a:solidFill>
                      <a:schemeClr val="accent1">
                        <a:lumMod val="8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Mælaborð!$C$33</c15:sqref>
                  <c15:spPr xmlns:c15="http://schemas.microsoft.com/office/drawing/2012/chart">
                    <a:solidFill>
                      <a:schemeClr val="accent2">
                        <a:lumMod val="8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A-BDDD-4CE6-AD7F-7CFF3C300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210854023536039"/>
          <c:y val="0.20006871867035939"/>
          <c:w val="0.29133973203143787"/>
          <c:h val="0.724934554949951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Basic</a:t>
            </a:r>
          </a:p>
        </c:rich>
      </c:tx>
      <c:layout>
        <c:manualLayout>
          <c:xMode val="edge"/>
          <c:yMode val="edge"/>
          <c:x val="0.46356233595800522"/>
          <c:y val="2.777777777777777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8810367454068241"/>
          <c:y val="0.1875"/>
          <c:w val="0.46388888888888891"/>
          <c:h val="0.773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520-485D-AAC0-23B3E10F0F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520-485D-AAC0-23B3E10F0F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520-485D-AAC0-23B3E10F0F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520-485D-AAC0-23B3E10F0F1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520-485D-AAC0-23B3E10F0F1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Dashboard!$B$11:$B$21</c15:sqref>
                  </c15:fullRef>
                </c:ext>
              </c:extLst>
              <c:f>(Dashboard!$B$11,Dashboard!$B$17:$B$21)</c:f>
              <c:strCache>
                <c:ptCount val="6"/>
                <c:pt idx="0">
                  <c:v>Energy</c:v>
                </c:pt>
                <c:pt idx="1">
                  <c:v>On-road</c:v>
                </c:pt>
                <c:pt idx="2">
                  <c:v>Waterborne navigation</c:v>
                </c:pt>
                <c:pt idx="3">
                  <c:v>  WTW</c:v>
                </c:pt>
                <c:pt idx="4">
                  <c:v>Aviation</c:v>
                </c:pt>
                <c:pt idx="5">
                  <c:v>Waste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Dashboard!$C$11:$C$21</c15:sqref>
                  </c15:fullRef>
                </c:ext>
              </c:extLst>
              <c:f>(Dashboard!$C$11,Dashboard!$C$17:$C$21)</c:f>
              <c:numCache>
                <c:formatCode>0</c:formatCode>
                <c:ptCount val="6"/>
                <c:pt idx="0">
                  <c:v>35457.380559969104</c:v>
                </c:pt>
                <c:pt idx="1">
                  <c:v>263036.99088380265</c:v>
                </c:pt>
                <c:pt idx="2">
                  <c:v>51970</c:v>
                </c:pt>
                <c:pt idx="3">
                  <c:v>64372</c:v>
                </c:pt>
                <c:pt idx="4">
                  <c:v>6188.7020046428052</c:v>
                </c:pt>
                <c:pt idx="5">
                  <c:v>62797.278812701777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Dashboard!$C$16</c15:sqref>
                  <c15:spPr xmlns:c15="http://schemas.microsoft.com/office/drawing/2012/chart"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A-9520-485D-AAC0-23B3E10F0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17629046369204"/>
          <c:y val="0.3153988043161271"/>
          <c:w val="0.23684948840968209"/>
          <c:h val="0.619202026829979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Mánaðarlegar breytingar á götuumferð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Götuumferð!$P$102:$P$257</c:f>
              <c:numCache>
                <c:formatCode>General</c:formatCode>
                <c:ptCount val="156"/>
                <c:pt idx="0">
                  <c:v>2012</c:v>
                </c:pt>
                <c:pt idx="1">
                  <c:v>2012.0769230769231</c:v>
                </c:pt>
                <c:pt idx="2">
                  <c:v>2012.1538461538462</c:v>
                </c:pt>
                <c:pt idx="3">
                  <c:v>2012.2307692307693</c:v>
                </c:pt>
                <c:pt idx="4">
                  <c:v>2012.3076923076924</c:v>
                </c:pt>
                <c:pt idx="5">
                  <c:v>2012.3846153846155</c:v>
                </c:pt>
                <c:pt idx="6">
                  <c:v>2012.4615384615386</c:v>
                </c:pt>
                <c:pt idx="7">
                  <c:v>2012.5384615384617</c:v>
                </c:pt>
                <c:pt idx="8">
                  <c:v>2012.6153846153848</c:v>
                </c:pt>
                <c:pt idx="9">
                  <c:v>2012.6923076923078</c:v>
                </c:pt>
                <c:pt idx="10">
                  <c:v>2012.7692307692309</c:v>
                </c:pt>
                <c:pt idx="11">
                  <c:v>2012.846153846154</c:v>
                </c:pt>
                <c:pt idx="12">
                  <c:v>2012.9230769230771</c:v>
                </c:pt>
                <c:pt idx="13">
                  <c:v>2013</c:v>
                </c:pt>
                <c:pt idx="14">
                  <c:v>2013.0769230769231</c:v>
                </c:pt>
                <c:pt idx="15">
                  <c:v>2013.1538461538462</c:v>
                </c:pt>
                <c:pt idx="16">
                  <c:v>2013.2307692307693</c:v>
                </c:pt>
                <c:pt idx="17">
                  <c:v>2013.3076923076924</c:v>
                </c:pt>
                <c:pt idx="18">
                  <c:v>2013.3846153846155</c:v>
                </c:pt>
                <c:pt idx="19">
                  <c:v>2013.4615384615386</c:v>
                </c:pt>
                <c:pt idx="20">
                  <c:v>2013.5384615384617</c:v>
                </c:pt>
                <c:pt idx="21">
                  <c:v>2013.6153846153848</c:v>
                </c:pt>
                <c:pt idx="22">
                  <c:v>2013.6923076923078</c:v>
                </c:pt>
                <c:pt idx="23">
                  <c:v>2013.7692307692309</c:v>
                </c:pt>
                <c:pt idx="24">
                  <c:v>2013.846153846154</c:v>
                </c:pt>
                <c:pt idx="25">
                  <c:v>2013.9230769230771</c:v>
                </c:pt>
                <c:pt idx="26">
                  <c:v>2014.0000000000002</c:v>
                </c:pt>
                <c:pt idx="27">
                  <c:v>2014.0769230769233</c:v>
                </c:pt>
                <c:pt idx="28">
                  <c:v>2014.1538461538464</c:v>
                </c:pt>
                <c:pt idx="29">
                  <c:v>2014.2307692307695</c:v>
                </c:pt>
                <c:pt idx="30">
                  <c:v>2014.3076923076926</c:v>
                </c:pt>
                <c:pt idx="31">
                  <c:v>2014.3846153846157</c:v>
                </c:pt>
                <c:pt idx="32">
                  <c:v>2014.4615384615388</c:v>
                </c:pt>
                <c:pt idx="33">
                  <c:v>2014.5384615384619</c:v>
                </c:pt>
                <c:pt idx="34">
                  <c:v>2014.615384615385</c:v>
                </c:pt>
                <c:pt idx="35">
                  <c:v>2014.6923076923081</c:v>
                </c:pt>
                <c:pt idx="36">
                  <c:v>2014.7692307692312</c:v>
                </c:pt>
                <c:pt idx="37">
                  <c:v>2014.8461538461543</c:v>
                </c:pt>
                <c:pt idx="38">
                  <c:v>2014.9230769230774</c:v>
                </c:pt>
                <c:pt idx="39">
                  <c:v>2015.0000000000005</c:v>
                </c:pt>
                <c:pt idx="40">
                  <c:v>2015.0769230769235</c:v>
                </c:pt>
                <c:pt idx="41">
                  <c:v>2015.1538461538466</c:v>
                </c:pt>
                <c:pt idx="42">
                  <c:v>2015.2307692307697</c:v>
                </c:pt>
                <c:pt idx="43">
                  <c:v>2015.3076923076928</c:v>
                </c:pt>
                <c:pt idx="44">
                  <c:v>2015.3846153846159</c:v>
                </c:pt>
                <c:pt idx="45">
                  <c:v>2015.461538461539</c:v>
                </c:pt>
                <c:pt idx="46">
                  <c:v>2015.5384615384621</c:v>
                </c:pt>
                <c:pt idx="47">
                  <c:v>2015.6153846153852</c:v>
                </c:pt>
                <c:pt idx="48">
                  <c:v>2015.6923076923083</c:v>
                </c:pt>
                <c:pt idx="49">
                  <c:v>2015.7692307692314</c:v>
                </c:pt>
                <c:pt idx="50">
                  <c:v>2015.8461538461545</c:v>
                </c:pt>
                <c:pt idx="51">
                  <c:v>2015.9230769230776</c:v>
                </c:pt>
                <c:pt idx="52">
                  <c:v>2016.0000000000007</c:v>
                </c:pt>
                <c:pt idx="53">
                  <c:v>2016.0769230769238</c:v>
                </c:pt>
                <c:pt idx="54">
                  <c:v>2016.1538461538469</c:v>
                </c:pt>
                <c:pt idx="55">
                  <c:v>2016.23076923077</c:v>
                </c:pt>
                <c:pt idx="56">
                  <c:v>2016.3076923076931</c:v>
                </c:pt>
                <c:pt idx="57">
                  <c:v>2016.3846153846162</c:v>
                </c:pt>
                <c:pt idx="58">
                  <c:v>2016.4615384615392</c:v>
                </c:pt>
                <c:pt idx="59">
                  <c:v>2016.5384615384623</c:v>
                </c:pt>
                <c:pt idx="60">
                  <c:v>2016.6153846153854</c:v>
                </c:pt>
                <c:pt idx="61">
                  <c:v>2016.6923076923085</c:v>
                </c:pt>
                <c:pt idx="62">
                  <c:v>2016.7692307692316</c:v>
                </c:pt>
                <c:pt idx="63">
                  <c:v>2016.8461538461547</c:v>
                </c:pt>
                <c:pt idx="64">
                  <c:v>2016.9230769230778</c:v>
                </c:pt>
                <c:pt idx="65">
                  <c:v>2017.0000000000009</c:v>
                </c:pt>
                <c:pt idx="66">
                  <c:v>2017.076923076924</c:v>
                </c:pt>
                <c:pt idx="67">
                  <c:v>2017.1538461538471</c:v>
                </c:pt>
                <c:pt idx="68">
                  <c:v>2017.2307692307702</c:v>
                </c:pt>
                <c:pt idx="69">
                  <c:v>2017.3076923076933</c:v>
                </c:pt>
                <c:pt idx="70">
                  <c:v>2017.3846153846164</c:v>
                </c:pt>
                <c:pt idx="71">
                  <c:v>2017.4615384615395</c:v>
                </c:pt>
                <c:pt idx="72">
                  <c:v>2017.5384615384626</c:v>
                </c:pt>
                <c:pt idx="73">
                  <c:v>2017.6153846153857</c:v>
                </c:pt>
                <c:pt idx="74">
                  <c:v>2017.6923076923088</c:v>
                </c:pt>
                <c:pt idx="75">
                  <c:v>2017.7692307692319</c:v>
                </c:pt>
                <c:pt idx="76">
                  <c:v>2017.8461538461549</c:v>
                </c:pt>
                <c:pt idx="77">
                  <c:v>2017.923076923078</c:v>
                </c:pt>
                <c:pt idx="78">
                  <c:v>2018.0000000000011</c:v>
                </c:pt>
                <c:pt idx="79">
                  <c:v>2018.0769230769242</c:v>
                </c:pt>
                <c:pt idx="80">
                  <c:v>2018.1538461538473</c:v>
                </c:pt>
                <c:pt idx="81">
                  <c:v>2018.2307692307704</c:v>
                </c:pt>
                <c:pt idx="82">
                  <c:v>2018.3076923076935</c:v>
                </c:pt>
                <c:pt idx="83">
                  <c:v>2018.3846153846166</c:v>
                </c:pt>
                <c:pt idx="84">
                  <c:v>2018.4615384615397</c:v>
                </c:pt>
                <c:pt idx="85">
                  <c:v>2018.5384615384628</c:v>
                </c:pt>
                <c:pt idx="86">
                  <c:v>2018.6153846153859</c:v>
                </c:pt>
                <c:pt idx="87">
                  <c:v>2018.692307692309</c:v>
                </c:pt>
                <c:pt idx="88">
                  <c:v>2018.7692307692321</c:v>
                </c:pt>
                <c:pt idx="89">
                  <c:v>2018.8461538461552</c:v>
                </c:pt>
                <c:pt idx="90">
                  <c:v>2018.9230769230783</c:v>
                </c:pt>
                <c:pt idx="91">
                  <c:v>2019.0000000000014</c:v>
                </c:pt>
                <c:pt idx="92">
                  <c:v>2019.0769230769245</c:v>
                </c:pt>
                <c:pt idx="93">
                  <c:v>2019.1538461538476</c:v>
                </c:pt>
                <c:pt idx="94">
                  <c:v>2019.2307692307706</c:v>
                </c:pt>
                <c:pt idx="95">
                  <c:v>2019.3076923076937</c:v>
                </c:pt>
                <c:pt idx="96">
                  <c:v>2019.3846153846168</c:v>
                </c:pt>
                <c:pt idx="97">
                  <c:v>2019.4615384615399</c:v>
                </c:pt>
                <c:pt idx="98">
                  <c:v>2019.538461538463</c:v>
                </c:pt>
                <c:pt idx="99">
                  <c:v>2019.6153846153861</c:v>
                </c:pt>
                <c:pt idx="100">
                  <c:v>2019.6923076923092</c:v>
                </c:pt>
                <c:pt idx="101">
                  <c:v>2019.7692307692323</c:v>
                </c:pt>
                <c:pt idx="102">
                  <c:v>2019.8461538461554</c:v>
                </c:pt>
                <c:pt idx="103">
                  <c:v>2019.9230769230785</c:v>
                </c:pt>
                <c:pt idx="104">
                  <c:v>2020.0000000000016</c:v>
                </c:pt>
                <c:pt idx="105">
                  <c:v>2020.0769230769247</c:v>
                </c:pt>
                <c:pt idx="106">
                  <c:v>2020.1538461538478</c:v>
                </c:pt>
                <c:pt idx="107">
                  <c:v>2020.2307692307709</c:v>
                </c:pt>
                <c:pt idx="108">
                  <c:v>2020.307692307694</c:v>
                </c:pt>
                <c:pt idx="109">
                  <c:v>2020.3846153846171</c:v>
                </c:pt>
                <c:pt idx="110">
                  <c:v>2020.4615384615402</c:v>
                </c:pt>
                <c:pt idx="111">
                  <c:v>2020.5384615384633</c:v>
                </c:pt>
                <c:pt idx="112">
                  <c:v>2020.6153846153863</c:v>
                </c:pt>
                <c:pt idx="113">
                  <c:v>2020.6923076923094</c:v>
                </c:pt>
                <c:pt idx="114">
                  <c:v>2020.7692307692325</c:v>
                </c:pt>
                <c:pt idx="115">
                  <c:v>2020.8461538461556</c:v>
                </c:pt>
                <c:pt idx="116">
                  <c:v>2020.9230769230787</c:v>
                </c:pt>
                <c:pt idx="117">
                  <c:v>2021.0000000000018</c:v>
                </c:pt>
                <c:pt idx="118">
                  <c:v>2021.0769230769249</c:v>
                </c:pt>
                <c:pt idx="119">
                  <c:v>2021.153846153848</c:v>
                </c:pt>
                <c:pt idx="120">
                  <c:v>2021.2307692307711</c:v>
                </c:pt>
                <c:pt idx="121">
                  <c:v>2021.3076923076942</c:v>
                </c:pt>
                <c:pt idx="122">
                  <c:v>2021.3846153846173</c:v>
                </c:pt>
                <c:pt idx="123">
                  <c:v>2021.4615384615404</c:v>
                </c:pt>
                <c:pt idx="124">
                  <c:v>2021.5384615384635</c:v>
                </c:pt>
                <c:pt idx="125">
                  <c:v>2021.6153846153866</c:v>
                </c:pt>
                <c:pt idx="126">
                  <c:v>2021.6923076923097</c:v>
                </c:pt>
                <c:pt idx="127">
                  <c:v>2021.7692307692328</c:v>
                </c:pt>
                <c:pt idx="128">
                  <c:v>2021.8461538461559</c:v>
                </c:pt>
                <c:pt idx="129">
                  <c:v>2021.923076923079</c:v>
                </c:pt>
                <c:pt idx="130">
                  <c:v>2022.000000000002</c:v>
                </c:pt>
                <c:pt idx="131">
                  <c:v>2022.0769230769251</c:v>
                </c:pt>
                <c:pt idx="132">
                  <c:v>2022.1538461538482</c:v>
                </c:pt>
                <c:pt idx="133">
                  <c:v>2022.2307692307713</c:v>
                </c:pt>
                <c:pt idx="134">
                  <c:v>2022.3076923076944</c:v>
                </c:pt>
                <c:pt idx="135">
                  <c:v>2022.3846153846175</c:v>
                </c:pt>
                <c:pt idx="136">
                  <c:v>2022.4615384615406</c:v>
                </c:pt>
                <c:pt idx="137">
                  <c:v>2022.5384615384637</c:v>
                </c:pt>
                <c:pt idx="138">
                  <c:v>2022.6153846153868</c:v>
                </c:pt>
                <c:pt idx="139">
                  <c:v>2022.6923076923099</c:v>
                </c:pt>
                <c:pt idx="140">
                  <c:v>2022.769230769233</c:v>
                </c:pt>
                <c:pt idx="141">
                  <c:v>2022.8461538461561</c:v>
                </c:pt>
                <c:pt idx="142">
                  <c:v>2022.9230769230792</c:v>
                </c:pt>
                <c:pt idx="143">
                  <c:v>2023.0000000000023</c:v>
                </c:pt>
                <c:pt idx="144">
                  <c:v>2023.0769230769254</c:v>
                </c:pt>
                <c:pt idx="145">
                  <c:v>2023.1538461538485</c:v>
                </c:pt>
                <c:pt idx="146">
                  <c:v>2023.2307692307716</c:v>
                </c:pt>
                <c:pt idx="147">
                  <c:v>2023.3076923076947</c:v>
                </c:pt>
                <c:pt idx="148">
                  <c:v>2023.3846153846177</c:v>
                </c:pt>
                <c:pt idx="149">
                  <c:v>2023.4615384615408</c:v>
                </c:pt>
                <c:pt idx="150">
                  <c:v>2023.5384615384639</c:v>
                </c:pt>
                <c:pt idx="151">
                  <c:v>2023.615384615387</c:v>
                </c:pt>
                <c:pt idx="152">
                  <c:v>2023.6923076923101</c:v>
                </c:pt>
                <c:pt idx="153">
                  <c:v>2023.7692307692332</c:v>
                </c:pt>
                <c:pt idx="154">
                  <c:v>2023.8461538461563</c:v>
                </c:pt>
                <c:pt idx="155">
                  <c:v>2023.9230769230794</c:v>
                </c:pt>
              </c:numCache>
            </c:numRef>
          </c:xVal>
          <c:yVal>
            <c:numRef>
              <c:f>Götuumferð!$L$102:$L$256</c:f>
              <c:numCache>
                <c:formatCode>0.0%</c:formatCode>
                <c:ptCount val="155"/>
                <c:pt idx="0">
                  <c:v>-6.5011411577564626E-3</c:v>
                </c:pt>
                <c:pt idx="1">
                  <c:v>2.1234936057609621E-2</c:v>
                </c:pt>
                <c:pt idx="2">
                  <c:v>2.2612482669521983E-2</c:v>
                </c:pt>
                <c:pt idx="3">
                  <c:v>-1.0773239241054333E-2</c:v>
                </c:pt>
                <c:pt idx="4">
                  <c:v>1.9932940866862481E-4</c:v>
                </c:pt>
                <c:pt idx="5">
                  <c:v>4.9997258337208361E-2</c:v>
                </c:pt>
                <c:pt idx="6">
                  <c:v>5.316617572673854E-2</c:v>
                </c:pt>
                <c:pt idx="7">
                  <c:v>-1.2102943876614258E-2</c:v>
                </c:pt>
                <c:pt idx="8">
                  <c:v>-1.2347531243904974E-2</c:v>
                </c:pt>
                <c:pt idx="9">
                  <c:v>3.7513973897249642E-2</c:v>
                </c:pt>
                <c:pt idx="10">
                  <c:v>1.3105934423409238E-2</c:v>
                </c:pt>
                <c:pt idx="11">
                  <c:v>2.0772344067444104E-2</c:v>
                </c:pt>
                <c:pt idx="13">
                  <c:v>6.7499129829446503E-2</c:v>
                </c:pt>
                <c:pt idx="14">
                  <c:v>3.1703501664594347E-2</c:v>
                </c:pt>
                <c:pt idx="15">
                  <c:v>-1.3709039907671028E-2</c:v>
                </c:pt>
                <c:pt idx="16">
                  <c:v>8.4308935834134235E-2</c:v>
                </c:pt>
                <c:pt idx="17">
                  <c:v>2.8288577696642836E-2</c:v>
                </c:pt>
                <c:pt idx="18">
                  <c:v>2.9924003598842397E-3</c:v>
                </c:pt>
                <c:pt idx="19">
                  <c:v>2.9769990578829342E-2</c:v>
                </c:pt>
                <c:pt idx="20">
                  <c:v>3.7510218064958689E-2</c:v>
                </c:pt>
                <c:pt idx="21">
                  <c:v>6.9878776376293139E-3</c:v>
                </c:pt>
                <c:pt idx="22">
                  <c:v>3.1743073660680299E-2</c:v>
                </c:pt>
                <c:pt idx="23">
                  <c:v>1.8817351057017984E-2</c:v>
                </c:pt>
                <c:pt idx="24">
                  <c:v>2.0840861172843672E-2</c:v>
                </c:pt>
                <c:pt idx="26">
                  <c:v>3.9990014951886366E-2</c:v>
                </c:pt>
                <c:pt idx="27">
                  <c:v>3.6646527793976924E-2</c:v>
                </c:pt>
                <c:pt idx="28">
                  <c:v>6.4990523714703929E-2</c:v>
                </c:pt>
                <c:pt idx="29">
                  <c:v>-1.0203119155832718E-3</c:v>
                </c:pt>
                <c:pt idx="30">
                  <c:v>3.7199896901622731E-2</c:v>
                </c:pt>
                <c:pt idx="31">
                  <c:v>1.8847036816249885E-2</c:v>
                </c:pt>
                <c:pt idx="32">
                  <c:v>3.0916320287228238E-2</c:v>
                </c:pt>
                <c:pt idx="33">
                  <c:v>9.0264401990081122E-3</c:v>
                </c:pt>
                <c:pt idx="34">
                  <c:v>5.724328377809984E-2</c:v>
                </c:pt>
                <c:pt idx="35">
                  <c:v>3.4928536858530368E-2</c:v>
                </c:pt>
                <c:pt idx="36">
                  <c:v>2.9054758032768024E-2</c:v>
                </c:pt>
                <c:pt idx="37">
                  <c:v>3.1494800755016428E-3</c:v>
                </c:pt>
                <c:pt idx="39">
                  <c:v>1.5793640482151261E-3</c:v>
                </c:pt>
                <c:pt idx="40">
                  <c:v>-8.1005421970768987E-3</c:v>
                </c:pt>
                <c:pt idx="41">
                  <c:v>3.2801366903268292E-2</c:v>
                </c:pt>
                <c:pt idx="42">
                  <c:v>2.9327215027453724E-2</c:v>
                </c:pt>
                <c:pt idx="43">
                  <c:v>1.8459559074088583E-2</c:v>
                </c:pt>
                <c:pt idx="44">
                  <c:v>7.8669907753460055E-2</c:v>
                </c:pt>
                <c:pt idx="45">
                  <c:v>7.3713859066032006E-2</c:v>
                </c:pt>
                <c:pt idx="46">
                  <c:v>6.886426124927536E-2</c:v>
                </c:pt>
                <c:pt idx="47">
                  <c:v>6.2811952275471983E-2</c:v>
                </c:pt>
                <c:pt idx="48">
                  <c:v>4.5992227390424523E-2</c:v>
                </c:pt>
                <c:pt idx="49">
                  <c:v>5.5401359542565309E-2</c:v>
                </c:pt>
                <c:pt idx="50">
                  <c:v>4.4999221248968491E-2</c:v>
                </c:pt>
                <c:pt idx="52">
                  <c:v>4.7915906712796108E-2</c:v>
                </c:pt>
                <c:pt idx="53">
                  <c:v>7.2998907075876529E-2</c:v>
                </c:pt>
                <c:pt idx="54">
                  <c:v>3.3667731816716229E-2</c:v>
                </c:pt>
                <c:pt idx="55">
                  <c:v>0.12931920139298558</c:v>
                </c:pt>
                <c:pt idx="56">
                  <c:v>7.627856086114404E-2</c:v>
                </c:pt>
                <c:pt idx="57">
                  <c:v>4.2433335217570534E-2</c:v>
                </c:pt>
                <c:pt idx="58">
                  <c:v>3.5452079310759332E-2</c:v>
                </c:pt>
                <c:pt idx="59">
                  <c:v>9.1991834476374823E-2</c:v>
                </c:pt>
                <c:pt idx="60">
                  <c:v>8.0739447700058697E-2</c:v>
                </c:pt>
                <c:pt idx="61">
                  <c:v>4.3173615921811903E-2</c:v>
                </c:pt>
                <c:pt idx="62">
                  <c:v>8.886530075069965E-2</c:v>
                </c:pt>
                <c:pt idx="63">
                  <c:v>0.12355435607004517</c:v>
                </c:pt>
                <c:pt idx="65">
                  <c:v>9.2598994248547228E-2</c:v>
                </c:pt>
                <c:pt idx="66">
                  <c:v>6.5181826417116451E-2</c:v>
                </c:pt>
                <c:pt idx="67">
                  <c:v>0.14602069686869656</c:v>
                </c:pt>
                <c:pt idx="68">
                  <c:v>5.0586704483408518E-2</c:v>
                </c:pt>
                <c:pt idx="69">
                  <c:v>8.1334498557619428E-2</c:v>
                </c:pt>
                <c:pt idx="70">
                  <c:v>0.10537924959819756</c:v>
                </c:pt>
                <c:pt idx="71">
                  <c:v>9.502970138226563E-2</c:v>
                </c:pt>
                <c:pt idx="72">
                  <c:v>6.4694654771844773E-2</c:v>
                </c:pt>
                <c:pt idx="73">
                  <c:v>7.1577712119395676E-2</c:v>
                </c:pt>
                <c:pt idx="74">
                  <c:v>9.044452708126749E-2</c:v>
                </c:pt>
                <c:pt idx="75">
                  <c:v>5.485673846222161E-2</c:v>
                </c:pt>
                <c:pt idx="76">
                  <c:v>4.9950438902150562E-2</c:v>
                </c:pt>
                <c:pt idx="78">
                  <c:v>4.6028510544006807E-2</c:v>
                </c:pt>
                <c:pt idx="79">
                  <c:v>1.9834602743784124E-2</c:v>
                </c:pt>
                <c:pt idx="80">
                  <c:v>2.4309303816771655E-2</c:v>
                </c:pt>
                <c:pt idx="81">
                  <c:v>4.1905511872618817E-2</c:v>
                </c:pt>
                <c:pt idx="82">
                  <c:v>2.6130907130897052E-2</c:v>
                </c:pt>
                <c:pt idx="83">
                  <c:v>2.5515341511492151E-2</c:v>
                </c:pt>
                <c:pt idx="84">
                  <c:v>2.5631498875323899E-2</c:v>
                </c:pt>
                <c:pt idx="85">
                  <c:v>2.386228392333134E-2</c:v>
                </c:pt>
                <c:pt idx="86">
                  <c:v>1.5010312465283171E-2</c:v>
                </c:pt>
                <c:pt idx="87">
                  <c:v>4.1026855491876901E-2</c:v>
                </c:pt>
                <c:pt idx="88">
                  <c:v>4.3795203735273347E-2</c:v>
                </c:pt>
                <c:pt idx="89">
                  <c:v>5.1712362572400306E-3</c:v>
                </c:pt>
                <c:pt idx="90">
                  <c:v>1.5241885439683404E-2</c:v>
                </c:pt>
                <c:pt idx="91">
                  <c:v>1.6218273886985379E-2</c:v>
                </c:pt>
                <c:pt idx="92">
                  <c:v>7.058472295642737E-2</c:v>
                </c:pt>
                <c:pt idx="93">
                  <c:v>8.2706372678418294E-3</c:v>
                </c:pt>
                <c:pt idx="94">
                  <c:v>-2.5650990202638724E-2</c:v>
                </c:pt>
                <c:pt idx="95">
                  <c:v>4.7355358180302565E-2</c:v>
                </c:pt>
                <c:pt idx="96">
                  <c:v>-1.4813813145482357E-2</c:v>
                </c:pt>
                <c:pt idx="97">
                  <c:v>2.2510750142982872E-2</c:v>
                </c:pt>
                <c:pt idx="98">
                  <c:v>3.564310533311188E-3</c:v>
                </c:pt>
                <c:pt idx="99">
                  <c:v>3.1536402084781923E-3</c:v>
                </c:pt>
                <c:pt idx="100">
                  <c:v>1.6088144407091498E-2</c:v>
                </c:pt>
                <c:pt idx="101">
                  <c:v>1.7113859336255199E-3</c:v>
                </c:pt>
                <c:pt idx="102">
                  <c:v>-1.0444039501341096E-2</c:v>
                </c:pt>
                <c:pt idx="104">
                  <c:v>-1.5792261795868123E-2</c:v>
                </c:pt>
                <c:pt idx="105">
                  <c:v>-8.7228827769554318E-3</c:v>
                </c:pt>
                <c:pt idx="106">
                  <c:v>-0.20666133367378603</c:v>
                </c:pt>
                <c:pt idx="107">
                  <c:v>-0.27729578970386559</c:v>
                </c:pt>
                <c:pt idx="108">
                  <c:v>1.2417322631711691E-2</c:v>
                </c:pt>
                <c:pt idx="109">
                  <c:v>1.2417322631711691E-2</c:v>
                </c:pt>
                <c:pt idx="110">
                  <c:v>-3.4211859035475745E-2</c:v>
                </c:pt>
                <c:pt idx="111">
                  <c:v>-7.2665048536431853E-2</c:v>
                </c:pt>
                <c:pt idx="112">
                  <c:v>-4.4498688906854045E-2</c:v>
                </c:pt>
                <c:pt idx="113">
                  <c:v>-0.19953389524534126</c:v>
                </c:pt>
                <c:pt idx="114">
                  <c:v>-0.20005986587488311</c:v>
                </c:pt>
                <c:pt idx="115">
                  <c:v>-7.6698257743490927E-2</c:v>
                </c:pt>
                <c:pt idx="117">
                  <c:v>-6.4187483298504433E-2</c:v>
                </c:pt>
                <c:pt idx="118">
                  <c:v>-7.7155880955463996E-3</c:v>
                </c:pt>
                <c:pt idx="119">
                  <c:v>0.24699234049298324</c:v>
                </c:pt>
                <c:pt idx="120">
                  <c:v>0.31618900213645995</c:v>
                </c:pt>
                <c:pt idx="121">
                  <c:v>7.9853339489473374E-2</c:v>
                </c:pt>
                <c:pt idx="122">
                  <c:v>5.4291794093859203E-3</c:v>
                </c:pt>
                <c:pt idx="123">
                  <c:v>-3.0995975475158422E-2</c:v>
                </c:pt>
                <c:pt idx="124">
                  <c:v>5.7811466247121412E-2</c:v>
                </c:pt>
                <c:pt idx="125">
                  <c:v>5.9638299859981148E-2</c:v>
                </c:pt>
                <c:pt idx="126">
                  <c:v>0.25038703167081477</c:v>
                </c:pt>
                <c:pt idx="127">
                  <c:v>0.23027141582643429</c:v>
                </c:pt>
                <c:pt idx="128">
                  <c:v>0.10858682701311517</c:v>
                </c:pt>
                <c:pt idx="130">
                  <c:v>-2.186596176249167E-2</c:v>
                </c:pt>
                <c:pt idx="131">
                  <c:v>-9.168900296991056E-2</c:v>
                </c:pt>
                <c:pt idx="132">
                  <c:v>2.2609340323860305E-3</c:v>
                </c:pt>
                <c:pt idx="133">
                  <c:v>8.5794784807432078E-2</c:v>
                </c:pt>
                <c:pt idx="134">
                  <c:v>5.0705727354587449E-2</c:v>
                </c:pt>
                <c:pt idx="135">
                  <c:v>2.4783669267456787E-2</c:v>
                </c:pt>
                <c:pt idx="136">
                  <c:v>2.6050828554224026E-2</c:v>
                </c:pt>
                <c:pt idx="137">
                  <c:v>5.1510210516382937E-2</c:v>
                </c:pt>
                <c:pt idx="138">
                  <c:v>2.5823978802897773E-2</c:v>
                </c:pt>
                <c:pt idx="139">
                  <c:v>1.0845547921314314E-3</c:v>
                </c:pt>
                <c:pt idx="140">
                  <c:v>4.8138090183257765E-2</c:v>
                </c:pt>
                <c:pt idx="141">
                  <c:v>-2.0438323263986424E-2</c:v>
                </c:pt>
                <c:pt idx="143">
                  <c:v>0.12092111634661062</c:v>
                </c:pt>
                <c:pt idx="144">
                  <c:v>0.12051509568130125</c:v>
                </c:pt>
                <c:pt idx="145">
                  <c:v>8.3803784853466956E-2</c:v>
                </c:pt>
                <c:pt idx="146">
                  <c:v>-2.0890036609353513E-2</c:v>
                </c:pt>
                <c:pt idx="147">
                  <c:v>-1.4999999999999999E-2</c:v>
                </c:pt>
                <c:pt idx="148">
                  <c:v>5.1999999999999998E-2</c:v>
                </c:pt>
                <c:pt idx="149">
                  <c:v>7.2999999999999995E-2</c:v>
                </c:pt>
                <c:pt idx="150">
                  <c:v>1.2999999999999999E-2</c:v>
                </c:pt>
                <c:pt idx="151">
                  <c:v>2.5999999999999999E-2</c:v>
                </c:pt>
                <c:pt idx="152">
                  <c:v>2.8000000000000001E-2</c:v>
                </c:pt>
                <c:pt idx="153">
                  <c:v>3.5000000000000003E-2</c:v>
                </c:pt>
                <c:pt idx="154">
                  <c:v>7.3999999999999996E-2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26-4932-A05A-3379697B8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511631"/>
        <c:axId val="30346591"/>
      </c:scatterChart>
      <c:valAx>
        <c:axId val="1695511631"/>
        <c:scaling>
          <c:orientation val="minMax"/>
          <c:max val="2025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30346591"/>
        <c:crosses val="autoZero"/>
        <c:crossBetween val="midCat"/>
      </c:valAx>
      <c:valAx>
        <c:axId val="3034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Breyting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695511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Götuumferð!$O$115:$O$256</c:f>
              <c:numCache>
                <c:formatCode>General</c:formatCode>
                <c:ptCount val="142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2014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2015</c:v>
                </c:pt>
                <c:pt idx="37">
                  <c:v>2015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2016</c:v>
                </c:pt>
                <c:pt idx="49">
                  <c:v>2016</c:v>
                </c:pt>
                <c:pt idx="50">
                  <c:v>2016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2017</c:v>
                </c:pt>
                <c:pt idx="61">
                  <c:v>2017</c:v>
                </c:pt>
                <c:pt idx="62">
                  <c:v>2017</c:v>
                </c:pt>
                <c:pt idx="63">
                  <c:v>2017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2018</c:v>
                </c:pt>
                <c:pt idx="73">
                  <c:v>2018</c:v>
                </c:pt>
                <c:pt idx="74">
                  <c:v>2018</c:v>
                </c:pt>
                <c:pt idx="75">
                  <c:v>2018</c:v>
                </c:pt>
                <c:pt idx="76">
                  <c:v>2018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2019</c:v>
                </c:pt>
                <c:pt idx="89">
                  <c:v>2019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2020</c:v>
                </c:pt>
                <c:pt idx="97">
                  <c:v>2020</c:v>
                </c:pt>
                <c:pt idx="98">
                  <c:v>2020</c:v>
                </c:pt>
                <c:pt idx="99">
                  <c:v>2020</c:v>
                </c:pt>
                <c:pt idx="100">
                  <c:v>2020</c:v>
                </c:pt>
                <c:pt idx="101">
                  <c:v>2020</c:v>
                </c:pt>
                <c:pt idx="102">
                  <c:v>2020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2021</c:v>
                </c:pt>
                <c:pt idx="109">
                  <c:v>2021</c:v>
                </c:pt>
                <c:pt idx="110">
                  <c:v>2021</c:v>
                </c:pt>
                <c:pt idx="111">
                  <c:v>2021</c:v>
                </c:pt>
                <c:pt idx="112">
                  <c:v>2021</c:v>
                </c:pt>
                <c:pt idx="113">
                  <c:v>2021</c:v>
                </c:pt>
                <c:pt idx="114">
                  <c:v>2021</c:v>
                </c:pt>
                <c:pt idx="115">
                  <c:v>2021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2022</c:v>
                </c:pt>
                <c:pt idx="121">
                  <c:v>2022</c:v>
                </c:pt>
                <c:pt idx="122">
                  <c:v>2022</c:v>
                </c:pt>
                <c:pt idx="123">
                  <c:v>2022</c:v>
                </c:pt>
                <c:pt idx="124">
                  <c:v>2022</c:v>
                </c:pt>
                <c:pt idx="125">
                  <c:v>2022</c:v>
                </c:pt>
                <c:pt idx="126">
                  <c:v>2022</c:v>
                </c:pt>
                <c:pt idx="127">
                  <c:v>2022</c:v>
                </c:pt>
                <c:pt idx="128">
                  <c:v>2022</c:v>
                </c:pt>
                <c:pt idx="130">
                  <c:v>2023</c:v>
                </c:pt>
                <c:pt idx="131">
                  <c:v>2023</c:v>
                </c:pt>
                <c:pt idx="132">
                  <c:v>2023</c:v>
                </c:pt>
                <c:pt idx="133">
                  <c:v>2023</c:v>
                </c:pt>
                <c:pt idx="134">
                  <c:v>2023</c:v>
                </c:pt>
                <c:pt idx="135">
                  <c:v>2023</c:v>
                </c:pt>
                <c:pt idx="136">
                  <c:v>2023</c:v>
                </c:pt>
                <c:pt idx="137">
                  <c:v>2023</c:v>
                </c:pt>
                <c:pt idx="138">
                  <c:v>2023</c:v>
                </c:pt>
                <c:pt idx="139">
                  <c:v>2023</c:v>
                </c:pt>
                <c:pt idx="140">
                  <c:v>2023</c:v>
                </c:pt>
                <c:pt idx="141">
                  <c:v>2023</c:v>
                </c:pt>
              </c:numCache>
            </c:numRef>
          </c:xVal>
          <c:yVal>
            <c:numRef>
              <c:f>Götuumferð!$L$115:$L$256</c:f>
              <c:numCache>
                <c:formatCode>0.0%</c:formatCode>
                <c:ptCount val="142"/>
                <c:pt idx="0">
                  <c:v>6.7499129829446503E-2</c:v>
                </c:pt>
                <c:pt idx="1">
                  <c:v>3.1703501664594347E-2</c:v>
                </c:pt>
                <c:pt idx="2">
                  <c:v>-1.3709039907671028E-2</c:v>
                </c:pt>
                <c:pt idx="3">
                  <c:v>8.4308935834134235E-2</c:v>
                </c:pt>
                <c:pt idx="4">
                  <c:v>2.8288577696642836E-2</c:v>
                </c:pt>
                <c:pt idx="5">
                  <c:v>2.9924003598842397E-3</c:v>
                </c:pt>
                <c:pt idx="6">
                  <c:v>2.9769990578829342E-2</c:v>
                </c:pt>
                <c:pt idx="7">
                  <c:v>3.7510218064958689E-2</c:v>
                </c:pt>
                <c:pt idx="8">
                  <c:v>6.9878776376293139E-3</c:v>
                </c:pt>
                <c:pt idx="9">
                  <c:v>3.1743073660680299E-2</c:v>
                </c:pt>
                <c:pt idx="10">
                  <c:v>1.8817351057017984E-2</c:v>
                </c:pt>
                <c:pt idx="11">
                  <c:v>2.0840861172843672E-2</c:v>
                </c:pt>
                <c:pt idx="13">
                  <c:v>3.9990014951886366E-2</c:v>
                </c:pt>
                <c:pt idx="14">
                  <c:v>3.6646527793976924E-2</c:v>
                </c:pt>
                <c:pt idx="15">
                  <c:v>6.4990523714703929E-2</c:v>
                </c:pt>
                <c:pt idx="16">
                  <c:v>-1.0203119155832718E-3</c:v>
                </c:pt>
                <c:pt idx="17">
                  <c:v>3.7199896901622731E-2</c:v>
                </c:pt>
                <c:pt idx="18">
                  <c:v>1.8847036816249885E-2</c:v>
                </c:pt>
                <c:pt idx="19">
                  <c:v>3.0916320287228238E-2</c:v>
                </c:pt>
                <c:pt idx="20">
                  <c:v>9.0264401990081122E-3</c:v>
                </c:pt>
                <c:pt idx="21">
                  <c:v>5.724328377809984E-2</c:v>
                </c:pt>
                <c:pt idx="22">
                  <c:v>3.4928536858530368E-2</c:v>
                </c:pt>
                <c:pt idx="23">
                  <c:v>2.9054758032768024E-2</c:v>
                </c:pt>
                <c:pt idx="24">
                  <c:v>3.1494800755016428E-3</c:v>
                </c:pt>
                <c:pt idx="26">
                  <c:v>1.5793640482151261E-3</c:v>
                </c:pt>
                <c:pt idx="27">
                  <c:v>-8.1005421970768987E-3</c:v>
                </c:pt>
                <c:pt idx="28">
                  <c:v>3.2801366903268292E-2</c:v>
                </c:pt>
                <c:pt idx="29">
                  <c:v>2.9327215027453724E-2</c:v>
                </c:pt>
                <c:pt idx="30">
                  <c:v>1.8459559074088583E-2</c:v>
                </c:pt>
                <c:pt idx="31">
                  <c:v>7.8669907753460055E-2</c:v>
                </c:pt>
                <c:pt idx="32">
                  <c:v>7.3713859066032006E-2</c:v>
                </c:pt>
                <c:pt idx="33">
                  <c:v>6.886426124927536E-2</c:v>
                </c:pt>
                <c:pt idx="34">
                  <c:v>6.2811952275471983E-2</c:v>
                </c:pt>
                <c:pt idx="35">
                  <c:v>4.5992227390424523E-2</c:v>
                </c:pt>
                <c:pt idx="36">
                  <c:v>5.5401359542565309E-2</c:v>
                </c:pt>
                <c:pt idx="37">
                  <c:v>4.4999221248968491E-2</c:v>
                </c:pt>
                <c:pt idx="39">
                  <c:v>4.7915906712796108E-2</c:v>
                </c:pt>
                <c:pt idx="40">
                  <c:v>7.2998907075876529E-2</c:v>
                </c:pt>
                <c:pt idx="41">
                  <c:v>3.3667731816716229E-2</c:v>
                </c:pt>
                <c:pt idx="42">
                  <c:v>0.12931920139298558</c:v>
                </c:pt>
                <c:pt idx="43">
                  <c:v>7.627856086114404E-2</c:v>
                </c:pt>
                <c:pt idx="44">
                  <c:v>4.2433335217570534E-2</c:v>
                </c:pt>
                <c:pt idx="45">
                  <c:v>3.5452079310759332E-2</c:v>
                </c:pt>
                <c:pt idx="46">
                  <c:v>9.1991834476374823E-2</c:v>
                </c:pt>
                <c:pt idx="47">
                  <c:v>8.0739447700058697E-2</c:v>
                </c:pt>
                <c:pt idx="48">
                  <c:v>4.3173615921811903E-2</c:v>
                </c:pt>
                <c:pt idx="49">
                  <c:v>8.886530075069965E-2</c:v>
                </c:pt>
                <c:pt idx="50">
                  <c:v>0.12355435607004517</c:v>
                </c:pt>
                <c:pt idx="52">
                  <c:v>9.2598994248547228E-2</c:v>
                </c:pt>
                <c:pt idx="53">
                  <c:v>6.5181826417116451E-2</c:v>
                </c:pt>
                <c:pt idx="54">
                  <c:v>0.14602069686869656</c:v>
                </c:pt>
                <c:pt idx="55">
                  <c:v>5.0586704483408518E-2</c:v>
                </c:pt>
                <c:pt idx="56">
                  <c:v>8.1334498557619428E-2</c:v>
                </c:pt>
                <c:pt idx="57">
                  <c:v>0.10537924959819756</c:v>
                </c:pt>
                <c:pt idx="58">
                  <c:v>9.502970138226563E-2</c:v>
                </c:pt>
                <c:pt idx="59">
                  <c:v>6.4694654771844773E-2</c:v>
                </c:pt>
                <c:pt idx="60">
                  <c:v>7.1577712119395676E-2</c:v>
                </c:pt>
                <c:pt idx="61">
                  <c:v>9.044452708126749E-2</c:v>
                </c:pt>
                <c:pt idx="62">
                  <c:v>5.485673846222161E-2</c:v>
                </c:pt>
                <c:pt idx="63">
                  <c:v>4.9950438902150562E-2</c:v>
                </c:pt>
                <c:pt idx="65">
                  <c:v>4.6028510544006807E-2</c:v>
                </c:pt>
                <c:pt idx="66">
                  <c:v>1.9834602743784124E-2</c:v>
                </c:pt>
                <c:pt idx="67">
                  <c:v>2.4309303816771655E-2</c:v>
                </c:pt>
                <c:pt idx="68">
                  <c:v>4.1905511872618817E-2</c:v>
                </c:pt>
                <c:pt idx="69">
                  <c:v>2.6130907130897052E-2</c:v>
                </c:pt>
                <c:pt idx="70">
                  <c:v>2.5515341511492151E-2</c:v>
                </c:pt>
                <c:pt idx="71">
                  <c:v>2.5631498875323899E-2</c:v>
                </c:pt>
                <c:pt idx="72">
                  <c:v>2.386228392333134E-2</c:v>
                </c:pt>
                <c:pt idx="73">
                  <c:v>1.5010312465283171E-2</c:v>
                </c:pt>
                <c:pt idx="74">
                  <c:v>4.1026855491876901E-2</c:v>
                </c:pt>
                <c:pt idx="75">
                  <c:v>4.3795203735273347E-2</c:v>
                </c:pt>
                <c:pt idx="76">
                  <c:v>5.1712362572400306E-3</c:v>
                </c:pt>
                <c:pt idx="77">
                  <c:v>1.5241885439683404E-2</c:v>
                </c:pt>
                <c:pt idx="78">
                  <c:v>1.6218273886985379E-2</c:v>
                </c:pt>
                <c:pt idx="79">
                  <c:v>7.058472295642737E-2</c:v>
                </c:pt>
                <c:pt idx="80">
                  <c:v>8.2706372678418294E-3</c:v>
                </c:pt>
                <c:pt idx="81">
                  <c:v>-2.5650990202638724E-2</c:v>
                </c:pt>
                <c:pt idx="82">
                  <c:v>4.7355358180302565E-2</c:v>
                </c:pt>
                <c:pt idx="83">
                  <c:v>-1.4813813145482357E-2</c:v>
                </c:pt>
                <c:pt idx="84">
                  <c:v>2.2510750142982872E-2</c:v>
                </c:pt>
                <c:pt idx="85">
                  <c:v>3.564310533311188E-3</c:v>
                </c:pt>
                <c:pt idx="86">
                  <c:v>3.1536402084781923E-3</c:v>
                </c:pt>
                <c:pt idx="87">
                  <c:v>1.6088144407091498E-2</c:v>
                </c:pt>
                <c:pt idx="88">
                  <c:v>1.7113859336255199E-3</c:v>
                </c:pt>
                <c:pt idx="89">
                  <c:v>-1.0444039501341096E-2</c:v>
                </c:pt>
                <c:pt idx="91">
                  <c:v>-1.5792261795868123E-2</c:v>
                </c:pt>
                <c:pt idx="92">
                  <c:v>-8.7228827769554318E-3</c:v>
                </c:pt>
                <c:pt idx="93">
                  <c:v>-0.20666133367378603</c:v>
                </c:pt>
                <c:pt idx="94">
                  <c:v>-0.27729578970386559</c:v>
                </c:pt>
                <c:pt idx="95">
                  <c:v>1.2417322631711691E-2</c:v>
                </c:pt>
                <c:pt idx="96">
                  <c:v>1.2417322631711691E-2</c:v>
                </c:pt>
                <c:pt idx="97">
                  <c:v>-3.4211859035475745E-2</c:v>
                </c:pt>
                <c:pt idx="98">
                  <c:v>-7.2665048536431853E-2</c:v>
                </c:pt>
                <c:pt idx="99">
                  <c:v>-4.4498688906854045E-2</c:v>
                </c:pt>
                <c:pt idx="100">
                  <c:v>-0.19953389524534126</c:v>
                </c:pt>
                <c:pt idx="101">
                  <c:v>-0.20005986587488311</c:v>
                </c:pt>
                <c:pt idx="102">
                  <c:v>-7.6698257743490927E-2</c:v>
                </c:pt>
                <c:pt idx="104">
                  <c:v>-6.4187483298504433E-2</c:v>
                </c:pt>
                <c:pt idx="105">
                  <c:v>-7.7155880955463996E-3</c:v>
                </c:pt>
                <c:pt idx="106">
                  <c:v>0.24699234049298324</c:v>
                </c:pt>
                <c:pt idx="107">
                  <c:v>0.31618900213645995</c:v>
                </c:pt>
                <c:pt idx="108">
                  <c:v>7.9853339489473374E-2</c:v>
                </c:pt>
                <c:pt idx="109">
                  <c:v>5.4291794093859203E-3</c:v>
                </c:pt>
                <c:pt idx="110">
                  <c:v>-3.0995975475158422E-2</c:v>
                </c:pt>
                <c:pt idx="111">
                  <c:v>5.7811466247121412E-2</c:v>
                </c:pt>
                <c:pt idx="112">
                  <c:v>5.9638299859981148E-2</c:v>
                </c:pt>
                <c:pt idx="113">
                  <c:v>0.25038703167081477</c:v>
                </c:pt>
                <c:pt idx="114">
                  <c:v>0.23027141582643429</c:v>
                </c:pt>
                <c:pt idx="115">
                  <c:v>0.10858682701311517</c:v>
                </c:pt>
                <c:pt idx="117">
                  <c:v>-2.186596176249167E-2</c:v>
                </c:pt>
                <c:pt idx="118">
                  <c:v>-9.168900296991056E-2</c:v>
                </c:pt>
                <c:pt idx="119">
                  <c:v>2.2609340323860305E-3</c:v>
                </c:pt>
                <c:pt idx="120">
                  <c:v>8.5794784807432078E-2</c:v>
                </c:pt>
                <c:pt idx="121">
                  <c:v>5.0705727354587449E-2</c:v>
                </c:pt>
                <c:pt idx="122">
                  <c:v>2.4783669267456787E-2</c:v>
                </c:pt>
                <c:pt idx="123">
                  <c:v>2.6050828554224026E-2</c:v>
                </c:pt>
                <c:pt idx="124">
                  <c:v>5.1510210516382937E-2</c:v>
                </c:pt>
                <c:pt idx="125">
                  <c:v>2.5823978802897773E-2</c:v>
                </c:pt>
                <c:pt idx="126">
                  <c:v>1.0845547921314314E-3</c:v>
                </c:pt>
                <c:pt idx="127">
                  <c:v>4.8138090183257765E-2</c:v>
                </c:pt>
                <c:pt idx="128">
                  <c:v>-2.0438323263986424E-2</c:v>
                </c:pt>
                <c:pt idx="130">
                  <c:v>0.12092111634661062</c:v>
                </c:pt>
                <c:pt idx="131">
                  <c:v>0.12051509568130125</c:v>
                </c:pt>
                <c:pt idx="132">
                  <c:v>8.3803784853466956E-2</c:v>
                </c:pt>
                <c:pt idx="133">
                  <c:v>-2.0890036609353513E-2</c:v>
                </c:pt>
                <c:pt idx="134">
                  <c:v>-1.4999999999999999E-2</c:v>
                </c:pt>
                <c:pt idx="135">
                  <c:v>5.1999999999999998E-2</c:v>
                </c:pt>
                <c:pt idx="136">
                  <c:v>7.2999999999999995E-2</c:v>
                </c:pt>
                <c:pt idx="137">
                  <c:v>1.2999999999999999E-2</c:v>
                </c:pt>
                <c:pt idx="138">
                  <c:v>2.5999999999999999E-2</c:v>
                </c:pt>
                <c:pt idx="139">
                  <c:v>2.8000000000000001E-2</c:v>
                </c:pt>
                <c:pt idx="140">
                  <c:v>3.5000000000000003E-2</c:v>
                </c:pt>
                <c:pt idx="141">
                  <c:v>7.3999999999999996E-2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B7-4C21-BDB1-25962BB1A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511631"/>
        <c:axId val="30346591"/>
      </c:scatterChart>
      <c:valAx>
        <c:axId val="1695511631"/>
        <c:scaling>
          <c:orientation val="minMax"/>
          <c:max val="20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30346591"/>
        <c:crosses val="autoZero"/>
        <c:crossBetween val="midCat"/>
      </c:valAx>
      <c:valAx>
        <c:axId val="3034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695511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Götuumferð!$P$115:$P$257</c:f>
              <c:numCache>
                <c:formatCode>General</c:formatCode>
                <c:ptCount val="143"/>
                <c:pt idx="0">
                  <c:v>2013</c:v>
                </c:pt>
                <c:pt idx="1">
                  <c:v>2013.0769230769231</c:v>
                </c:pt>
                <c:pt idx="2">
                  <c:v>2013.1538461538462</c:v>
                </c:pt>
                <c:pt idx="3">
                  <c:v>2013.2307692307693</c:v>
                </c:pt>
                <c:pt idx="4">
                  <c:v>2013.3076923076924</c:v>
                </c:pt>
                <c:pt idx="5">
                  <c:v>2013.3846153846155</c:v>
                </c:pt>
                <c:pt idx="6">
                  <c:v>2013.4615384615386</c:v>
                </c:pt>
                <c:pt idx="7">
                  <c:v>2013.5384615384617</c:v>
                </c:pt>
                <c:pt idx="8">
                  <c:v>2013.6153846153848</c:v>
                </c:pt>
                <c:pt idx="9">
                  <c:v>2013.6923076923078</c:v>
                </c:pt>
                <c:pt idx="10">
                  <c:v>2013.7692307692309</c:v>
                </c:pt>
                <c:pt idx="11">
                  <c:v>2013.846153846154</c:v>
                </c:pt>
                <c:pt idx="12">
                  <c:v>2013.9230769230771</c:v>
                </c:pt>
                <c:pt idx="13">
                  <c:v>2014.0000000000002</c:v>
                </c:pt>
                <c:pt idx="14">
                  <c:v>2014.0769230769233</c:v>
                </c:pt>
                <c:pt idx="15">
                  <c:v>2014.1538461538464</c:v>
                </c:pt>
                <c:pt idx="16">
                  <c:v>2014.2307692307695</c:v>
                </c:pt>
                <c:pt idx="17">
                  <c:v>2014.3076923076926</c:v>
                </c:pt>
                <c:pt idx="18">
                  <c:v>2014.3846153846157</c:v>
                </c:pt>
                <c:pt idx="19">
                  <c:v>2014.4615384615388</c:v>
                </c:pt>
                <c:pt idx="20">
                  <c:v>2014.5384615384619</c:v>
                </c:pt>
                <c:pt idx="21">
                  <c:v>2014.615384615385</c:v>
                </c:pt>
                <c:pt idx="22">
                  <c:v>2014.6923076923081</c:v>
                </c:pt>
                <c:pt idx="23">
                  <c:v>2014.7692307692312</c:v>
                </c:pt>
                <c:pt idx="24">
                  <c:v>2014.8461538461543</c:v>
                </c:pt>
                <c:pt idx="25">
                  <c:v>2014.9230769230774</c:v>
                </c:pt>
                <c:pt idx="26">
                  <c:v>2015.0000000000005</c:v>
                </c:pt>
                <c:pt idx="27">
                  <c:v>2015.0769230769235</c:v>
                </c:pt>
                <c:pt idx="28">
                  <c:v>2015.1538461538466</c:v>
                </c:pt>
                <c:pt idx="29">
                  <c:v>2015.2307692307697</c:v>
                </c:pt>
                <c:pt idx="30">
                  <c:v>2015.3076923076928</c:v>
                </c:pt>
                <c:pt idx="31">
                  <c:v>2015.3846153846159</c:v>
                </c:pt>
                <c:pt idx="32">
                  <c:v>2015.461538461539</c:v>
                </c:pt>
                <c:pt idx="33">
                  <c:v>2015.5384615384621</c:v>
                </c:pt>
                <c:pt idx="34">
                  <c:v>2015.6153846153852</c:v>
                </c:pt>
                <c:pt idx="35">
                  <c:v>2015.6923076923083</c:v>
                </c:pt>
                <c:pt idx="36">
                  <c:v>2015.7692307692314</c:v>
                </c:pt>
                <c:pt idx="37">
                  <c:v>2015.8461538461545</c:v>
                </c:pt>
                <c:pt idx="38">
                  <c:v>2015.9230769230776</c:v>
                </c:pt>
                <c:pt idx="39">
                  <c:v>2016.0000000000007</c:v>
                </c:pt>
                <c:pt idx="40">
                  <c:v>2016.0769230769238</c:v>
                </c:pt>
                <c:pt idx="41">
                  <c:v>2016.1538461538469</c:v>
                </c:pt>
                <c:pt idx="42">
                  <c:v>2016.23076923077</c:v>
                </c:pt>
                <c:pt idx="43">
                  <c:v>2016.3076923076931</c:v>
                </c:pt>
                <c:pt idx="44">
                  <c:v>2016.3846153846162</c:v>
                </c:pt>
                <c:pt idx="45">
                  <c:v>2016.4615384615392</c:v>
                </c:pt>
                <c:pt idx="46">
                  <c:v>2016.5384615384623</c:v>
                </c:pt>
                <c:pt idx="47">
                  <c:v>2016.6153846153854</c:v>
                </c:pt>
                <c:pt idx="48">
                  <c:v>2016.6923076923085</c:v>
                </c:pt>
                <c:pt idx="49">
                  <c:v>2016.7692307692316</c:v>
                </c:pt>
                <c:pt idx="50">
                  <c:v>2016.8461538461547</c:v>
                </c:pt>
                <c:pt idx="51">
                  <c:v>2016.9230769230778</c:v>
                </c:pt>
                <c:pt idx="52">
                  <c:v>2017.0000000000009</c:v>
                </c:pt>
                <c:pt idx="53">
                  <c:v>2017.076923076924</c:v>
                </c:pt>
                <c:pt idx="54">
                  <c:v>2017.1538461538471</c:v>
                </c:pt>
                <c:pt idx="55">
                  <c:v>2017.2307692307702</c:v>
                </c:pt>
                <c:pt idx="56">
                  <c:v>2017.3076923076933</c:v>
                </c:pt>
                <c:pt idx="57">
                  <c:v>2017.3846153846164</c:v>
                </c:pt>
                <c:pt idx="58">
                  <c:v>2017.4615384615395</c:v>
                </c:pt>
                <c:pt idx="59">
                  <c:v>2017.5384615384626</c:v>
                </c:pt>
                <c:pt idx="60">
                  <c:v>2017.6153846153857</c:v>
                </c:pt>
                <c:pt idx="61">
                  <c:v>2017.6923076923088</c:v>
                </c:pt>
                <c:pt idx="62">
                  <c:v>2017.7692307692319</c:v>
                </c:pt>
                <c:pt idx="63">
                  <c:v>2017.8461538461549</c:v>
                </c:pt>
                <c:pt idx="64">
                  <c:v>2017.923076923078</c:v>
                </c:pt>
                <c:pt idx="65">
                  <c:v>2018.0000000000011</c:v>
                </c:pt>
                <c:pt idx="66">
                  <c:v>2018.0769230769242</c:v>
                </c:pt>
                <c:pt idx="67">
                  <c:v>2018.1538461538473</c:v>
                </c:pt>
                <c:pt idx="68">
                  <c:v>2018.2307692307704</c:v>
                </c:pt>
                <c:pt idx="69">
                  <c:v>2018.3076923076935</c:v>
                </c:pt>
                <c:pt idx="70">
                  <c:v>2018.3846153846166</c:v>
                </c:pt>
                <c:pt idx="71">
                  <c:v>2018.4615384615397</c:v>
                </c:pt>
                <c:pt idx="72">
                  <c:v>2018.5384615384628</c:v>
                </c:pt>
                <c:pt idx="73">
                  <c:v>2018.6153846153859</c:v>
                </c:pt>
                <c:pt idx="74">
                  <c:v>2018.692307692309</c:v>
                </c:pt>
                <c:pt idx="75">
                  <c:v>2018.7692307692321</c:v>
                </c:pt>
                <c:pt idx="76">
                  <c:v>2018.8461538461552</c:v>
                </c:pt>
                <c:pt idx="77">
                  <c:v>2018.9230769230783</c:v>
                </c:pt>
                <c:pt idx="78">
                  <c:v>2019.0000000000014</c:v>
                </c:pt>
                <c:pt idx="79">
                  <c:v>2019.0769230769245</c:v>
                </c:pt>
                <c:pt idx="80">
                  <c:v>2019.1538461538476</c:v>
                </c:pt>
                <c:pt idx="81">
                  <c:v>2019.2307692307706</c:v>
                </c:pt>
                <c:pt idx="82">
                  <c:v>2019.3076923076937</c:v>
                </c:pt>
                <c:pt idx="83">
                  <c:v>2019.3846153846168</c:v>
                </c:pt>
                <c:pt idx="84">
                  <c:v>2019.4615384615399</c:v>
                </c:pt>
                <c:pt idx="85">
                  <c:v>2019.538461538463</c:v>
                </c:pt>
                <c:pt idx="86">
                  <c:v>2019.6153846153861</c:v>
                </c:pt>
                <c:pt idx="87">
                  <c:v>2019.6923076923092</c:v>
                </c:pt>
                <c:pt idx="88">
                  <c:v>2019.7692307692323</c:v>
                </c:pt>
                <c:pt idx="89">
                  <c:v>2019.8461538461554</c:v>
                </c:pt>
                <c:pt idx="90">
                  <c:v>2019.9230769230785</c:v>
                </c:pt>
                <c:pt idx="91">
                  <c:v>2020.0000000000016</c:v>
                </c:pt>
                <c:pt idx="92">
                  <c:v>2020.0769230769247</c:v>
                </c:pt>
                <c:pt idx="93">
                  <c:v>2020.1538461538478</c:v>
                </c:pt>
                <c:pt idx="94">
                  <c:v>2020.2307692307709</c:v>
                </c:pt>
                <c:pt idx="95">
                  <c:v>2020.307692307694</c:v>
                </c:pt>
                <c:pt idx="96">
                  <c:v>2020.3846153846171</c:v>
                </c:pt>
                <c:pt idx="97">
                  <c:v>2020.4615384615402</c:v>
                </c:pt>
                <c:pt idx="98">
                  <c:v>2020.5384615384633</c:v>
                </c:pt>
                <c:pt idx="99">
                  <c:v>2020.6153846153863</c:v>
                </c:pt>
                <c:pt idx="100">
                  <c:v>2020.6923076923094</c:v>
                </c:pt>
                <c:pt idx="101">
                  <c:v>2020.7692307692325</c:v>
                </c:pt>
                <c:pt idx="102">
                  <c:v>2020.8461538461556</c:v>
                </c:pt>
                <c:pt idx="103">
                  <c:v>2020.9230769230787</c:v>
                </c:pt>
                <c:pt idx="104">
                  <c:v>2021.0000000000018</c:v>
                </c:pt>
                <c:pt idx="105">
                  <c:v>2021.0769230769249</c:v>
                </c:pt>
                <c:pt idx="106">
                  <c:v>2021.153846153848</c:v>
                </c:pt>
                <c:pt idx="107">
                  <c:v>2021.2307692307711</c:v>
                </c:pt>
                <c:pt idx="108">
                  <c:v>2021.3076923076942</c:v>
                </c:pt>
                <c:pt idx="109">
                  <c:v>2021.3846153846173</c:v>
                </c:pt>
                <c:pt idx="110">
                  <c:v>2021.4615384615404</c:v>
                </c:pt>
                <c:pt idx="111">
                  <c:v>2021.5384615384635</c:v>
                </c:pt>
                <c:pt idx="112">
                  <c:v>2021.6153846153866</c:v>
                </c:pt>
                <c:pt idx="113">
                  <c:v>2021.6923076923097</c:v>
                </c:pt>
                <c:pt idx="114">
                  <c:v>2021.7692307692328</c:v>
                </c:pt>
                <c:pt idx="115">
                  <c:v>2021.8461538461559</c:v>
                </c:pt>
                <c:pt idx="116">
                  <c:v>2021.923076923079</c:v>
                </c:pt>
                <c:pt idx="117">
                  <c:v>2022.000000000002</c:v>
                </c:pt>
                <c:pt idx="118">
                  <c:v>2022.0769230769251</c:v>
                </c:pt>
                <c:pt idx="119">
                  <c:v>2022.1538461538482</c:v>
                </c:pt>
                <c:pt idx="120">
                  <c:v>2022.2307692307713</c:v>
                </c:pt>
                <c:pt idx="121">
                  <c:v>2022.3076923076944</c:v>
                </c:pt>
                <c:pt idx="122">
                  <c:v>2022.3846153846175</c:v>
                </c:pt>
                <c:pt idx="123">
                  <c:v>2022.4615384615406</c:v>
                </c:pt>
                <c:pt idx="124">
                  <c:v>2022.5384615384637</c:v>
                </c:pt>
                <c:pt idx="125">
                  <c:v>2022.6153846153868</c:v>
                </c:pt>
                <c:pt idx="126">
                  <c:v>2022.6923076923099</c:v>
                </c:pt>
                <c:pt idx="127">
                  <c:v>2022.769230769233</c:v>
                </c:pt>
                <c:pt idx="128">
                  <c:v>2022.8461538461561</c:v>
                </c:pt>
                <c:pt idx="129">
                  <c:v>2022.9230769230792</c:v>
                </c:pt>
                <c:pt idx="130">
                  <c:v>2023.0000000000023</c:v>
                </c:pt>
                <c:pt idx="131">
                  <c:v>2023.0769230769254</c:v>
                </c:pt>
                <c:pt idx="132">
                  <c:v>2023.1538461538485</c:v>
                </c:pt>
                <c:pt idx="133">
                  <c:v>2023.2307692307716</c:v>
                </c:pt>
                <c:pt idx="134">
                  <c:v>2023.3076923076947</c:v>
                </c:pt>
                <c:pt idx="135">
                  <c:v>2023.3846153846177</c:v>
                </c:pt>
                <c:pt idx="136">
                  <c:v>2023.4615384615408</c:v>
                </c:pt>
                <c:pt idx="137">
                  <c:v>2023.5384615384639</c:v>
                </c:pt>
                <c:pt idx="138">
                  <c:v>2023.615384615387</c:v>
                </c:pt>
                <c:pt idx="139">
                  <c:v>2023.6923076923101</c:v>
                </c:pt>
                <c:pt idx="140">
                  <c:v>2023.7692307692332</c:v>
                </c:pt>
                <c:pt idx="141">
                  <c:v>2023.8461538461563</c:v>
                </c:pt>
                <c:pt idx="142">
                  <c:v>2023.9230769230794</c:v>
                </c:pt>
              </c:numCache>
            </c:numRef>
          </c:xVal>
          <c:yVal>
            <c:numRef>
              <c:f>Götuumferð!$M$115:$M$257</c:f>
              <c:numCache>
                <c:formatCode>0.0%</c:formatCode>
                <c:ptCount val="143"/>
                <c:pt idx="0">
                  <c:v>6.7499129829446503E-2</c:v>
                </c:pt>
                <c:pt idx="1">
                  <c:v>4.8874047792966779E-2</c:v>
                </c:pt>
                <c:pt idx="2">
                  <c:v>2.7215886593721983E-2</c:v>
                </c:pt>
                <c:pt idx="3">
                  <c:v>4.1400719742825887E-2</c:v>
                </c:pt>
                <c:pt idx="4">
                  <c:v>3.8617362594568716E-2</c:v>
                </c:pt>
                <c:pt idx="5">
                  <c:v>3.2313802000434988E-2</c:v>
                </c:pt>
                <c:pt idx="6">
                  <c:v>3.195538063105241E-2</c:v>
                </c:pt>
                <c:pt idx="7">
                  <c:v>3.266958988378188E-2</c:v>
                </c:pt>
                <c:pt idx="8">
                  <c:v>2.9693086868847196E-2</c:v>
                </c:pt>
                <c:pt idx="9">
                  <c:v>2.9905533182804644E-2</c:v>
                </c:pt>
                <c:pt idx="10">
                  <c:v>2.8877129440049831E-2</c:v>
                </c:pt>
                <c:pt idx="11">
                  <c:v>2.8204394465260352E-2</c:v>
                </c:pt>
                <c:pt idx="12">
                  <c:v>2.8204394465260352E-2</c:v>
                </c:pt>
                <c:pt idx="13">
                  <c:v>3.9990014951886366E-2</c:v>
                </c:pt>
                <c:pt idx="14">
                  <c:v>3.8278820236276712E-2</c:v>
                </c:pt>
                <c:pt idx="15">
                  <c:v>4.7154661069458648E-2</c:v>
                </c:pt>
                <c:pt idx="16">
                  <c:v>3.469237729220187E-2</c:v>
                </c:pt>
                <c:pt idx="17">
                  <c:v>3.5219363273639503E-2</c:v>
                </c:pt>
                <c:pt idx="18">
                  <c:v>3.2404691074733316E-2</c:v>
                </c:pt>
                <c:pt idx="19">
                  <c:v>3.2195424709540399E-2</c:v>
                </c:pt>
                <c:pt idx="20">
                  <c:v>2.9202525355809028E-2</c:v>
                </c:pt>
                <c:pt idx="21">
                  <c:v>3.2380778992170844E-2</c:v>
                </c:pt>
                <c:pt idx="22">
                  <c:v>3.264528190509175E-2</c:v>
                </c:pt>
                <c:pt idx="23">
                  <c:v>3.23155249718452E-2</c:v>
                </c:pt>
                <c:pt idx="24">
                  <c:v>2.9891451882241293E-2</c:v>
                </c:pt>
                <c:pt idx="25">
                  <c:v>2.9891451882241293E-2</c:v>
                </c:pt>
                <c:pt idx="26">
                  <c:v>1.5793640482151261E-3</c:v>
                </c:pt>
                <c:pt idx="27">
                  <c:v>-3.367017624398394E-3</c:v>
                </c:pt>
                <c:pt idx="28">
                  <c:v>8.8558172624702003E-3</c:v>
                </c:pt>
                <c:pt idx="29">
                  <c:v>1.3968738017950066E-2</c:v>
                </c:pt>
                <c:pt idx="30">
                  <c:v>1.4914344744845653E-2</c:v>
                </c:pt>
                <c:pt idx="31">
                  <c:v>2.5731038412432516E-2</c:v>
                </c:pt>
                <c:pt idx="32">
                  <c:v>3.2469108948660397E-2</c:v>
                </c:pt>
                <c:pt idx="33">
                  <c:v>3.707835993910491E-2</c:v>
                </c:pt>
                <c:pt idx="34">
                  <c:v>4.0065353168157847E-2</c:v>
                </c:pt>
                <c:pt idx="35">
                  <c:v>4.0682029408591225E-2</c:v>
                </c:pt>
                <c:pt idx="36">
                  <c:v>4.2029595856515778E-2</c:v>
                </c:pt>
                <c:pt idx="37">
                  <c:v>4.227000115618762E-2</c:v>
                </c:pt>
                <c:pt idx="38">
                  <c:v>4.227000115618762E-2</c:v>
                </c:pt>
                <c:pt idx="39">
                  <c:v>4.7915906712796108E-2</c:v>
                </c:pt>
                <c:pt idx="40">
                  <c:v>6.0672313359037888E-2</c:v>
                </c:pt>
                <c:pt idx="41">
                  <c:v>5.1329708365608573E-2</c:v>
                </c:pt>
                <c:pt idx="42">
                  <c:v>7.1103345139745144E-2</c:v>
                </c:pt>
                <c:pt idx="43">
                  <c:v>7.2196867475452287E-2</c:v>
                </c:pt>
                <c:pt idx="44">
                  <c:v>6.6886605073284811E-2</c:v>
                </c:pt>
                <c:pt idx="45">
                  <c:v>6.2296018482718818E-2</c:v>
                </c:pt>
                <c:pt idx="46">
                  <c:v>6.6172101445729492E-2</c:v>
                </c:pt>
                <c:pt idx="47">
                  <c:v>6.7899967470287592E-2</c:v>
                </c:pt>
                <c:pt idx="48">
                  <c:v>6.5314125697884862E-2</c:v>
                </c:pt>
                <c:pt idx="49">
                  <c:v>6.7497922969308233E-2</c:v>
                </c:pt>
                <c:pt idx="50">
                  <c:v>7.2047840846281241E-2</c:v>
                </c:pt>
                <c:pt idx="51">
                  <c:v>7.2047840846281241E-2</c:v>
                </c:pt>
                <c:pt idx="52">
                  <c:v>9.2598994248547228E-2</c:v>
                </c:pt>
                <c:pt idx="53">
                  <c:v>7.8493461024362166E-2</c:v>
                </c:pt>
                <c:pt idx="54">
                  <c:v>0.10146296042185421</c:v>
                </c:pt>
                <c:pt idx="55">
                  <c:v>8.7862583795647042E-2</c:v>
                </c:pt>
                <c:pt idx="56">
                  <c:v>8.647794921923535E-2</c:v>
                </c:pt>
                <c:pt idx="57">
                  <c:v>8.9772932561707153E-2</c:v>
                </c:pt>
                <c:pt idx="58">
                  <c:v>9.0521213358614627E-2</c:v>
                </c:pt>
                <c:pt idx="59">
                  <c:v>8.7068532658443942E-2</c:v>
                </c:pt>
                <c:pt idx="60">
                  <c:v>8.5209039969855072E-2</c:v>
                </c:pt>
                <c:pt idx="61">
                  <c:v>8.5745179600434707E-2</c:v>
                </c:pt>
                <c:pt idx="62">
                  <c:v>8.2823700060650429E-2</c:v>
                </c:pt>
                <c:pt idx="63">
                  <c:v>8.0027290299421239E-2</c:v>
                </c:pt>
                <c:pt idx="64">
                  <c:v>8.0027290299421239E-2</c:v>
                </c:pt>
                <c:pt idx="65">
                  <c:v>4.6028510544006807E-2</c:v>
                </c:pt>
                <c:pt idx="66">
                  <c:v>3.2718651872744697E-2</c:v>
                </c:pt>
                <c:pt idx="67">
                  <c:v>2.97424838306799E-2</c:v>
                </c:pt>
                <c:pt idx="68">
                  <c:v>3.2882525131284313E-2</c:v>
                </c:pt>
                <c:pt idx="69">
                  <c:v>3.1457257701654529E-2</c:v>
                </c:pt>
                <c:pt idx="70">
                  <c:v>3.0406594910582285E-2</c:v>
                </c:pt>
                <c:pt idx="71">
                  <c:v>2.9724068261157033E-2</c:v>
                </c:pt>
                <c:pt idx="72">
                  <c:v>2.8956551510029849E-2</c:v>
                </c:pt>
                <c:pt idx="73">
                  <c:v>2.7303496041732656E-2</c:v>
                </c:pt>
                <c:pt idx="74">
                  <c:v>2.8714918169851611E-2</c:v>
                </c:pt>
                <c:pt idx="75">
                  <c:v>3.0104397697588992E-2</c:v>
                </c:pt>
                <c:pt idx="76">
                  <c:v>2.8042488962377599E-2</c:v>
                </c:pt>
                <c:pt idx="77">
                  <c:v>2.8042488962377606E-2</c:v>
                </c:pt>
                <c:pt idx="78">
                  <c:v>1.6218273886985379E-2</c:v>
                </c:pt>
                <c:pt idx="79">
                  <c:v>4.3498743375507853E-2</c:v>
                </c:pt>
                <c:pt idx="80">
                  <c:v>3.1096881117401054E-2</c:v>
                </c:pt>
                <c:pt idx="81">
                  <c:v>1.6318711963529964E-2</c:v>
                </c:pt>
                <c:pt idx="82">
                  <c:v>2.2836718877805584E-2</c:v>
                </c:pt>
                <c:pt idx="83">
                  <c:v>1.6210870710027248E-2</c:v>
                </c:pt>
                <c:pt idx="84">
                  <c:v>1.7107762869000176E-2</c:v>
                </c:pt>
                <c:pt idx="85">
                  <c:v>1.5343221199382917E-2</c:v>
                </c:pt>
                <c:pt idx="86">
                  <c:v>1.3915672977145244E-2</c:v>
                </c:pt>
                <c:pt idx="87">
                  <c:v>1.4141781770448114E-2</c:v>
                </c:pt>
                <c:pt idx="88">
                  <c:v>1.2981237795800071E-2</c:v>
                </c:pt>
                <c:pt idx="89">
                  <c:v>1.1087125087072547E-2</c:v>
                </c:pt>
                <c:pt idx="90">
                  <c:v>1.1087125087072547E-2</c:v>
                </c:pt>
                <c:pt idx="91">
                  <c:v>-1.5792261795868123E-2</c:v>
                </c:pt>
                <c:pt idx="92">
                  <c:v>-1.2152849566947066E-2</c:v>
                </c:pt>
                <c:pt idx="93">
                  <c:v>-7.9112596507291966E-2</c:v>
                </c:pt>
                <c:pt idx="94">
                  <c:v>-0.12859177792939869</c:v>
                </c:pt>
                <c:pt idx="95">
                  <c:v>-9.8600876340504406E-2</c:v>
                </c:pt>
                <c:pt idx="96">
                  <c:v>-9.8600876340504406E-2</c:v>
                </c:pt>
                <c:pt idx="97">
                  <c:v>-8.9385338220906774E-2</c:v>
                </c:pt>
                <c:pt idx="98">
                  <c:v>-8.7232166501115982E-2</c:v>
                </c:pt>
                <c:pt idx="99">
                  <c:v>-8.2280676984505474E-2</c:v>
                </c:pt>
                <c:pt idx="100">
                  <c:v>-9.4507703629290285E-2</c:v>
                </c:pt>
                <c:pt idx="101">
                  <c:v>-0.10425277413182188</c:v>
                </c:pt>
                <c:pt idx="102">
                  <c:v>-0.10207222614065981</c:v>
                </c:pt>
                <c:pt idx="103">
                  <c:v>-0.10207222614065981</c:v>
                </c:pt>
                <c:pt idx="104">
                  <c:v>-6.4187483298504433E-2</c:v>
                </c:pt>
                <c:pt idx="105">
                  <c:v>-3.5014041031198095E-2</c:v>
                </c:pt>
                <c:pt idx="106">
                  <c:v>4.8620615917666976E-2</c:v>
                </c:pt>
                <c:pt idx="107">
                  <c:v>0.10402312265492086</c:v>
                </c:pt>
                <c:pt idx="108">
                  <c:v>9.8671066070454172E-2</c:v>
                </c:pt>
                <c:pt idx="109">
                  <c:v>8.0803790800816788E-2</c:v>
                </c:pt>
                <c:pt idx="110">
                  <c:v>6.3833197401355068E-2</c:v>
                </c:pt>
                <c:pt idx="111">
                  <c:v>6.304536736652766E-2</c:v>
                </c:pt>
                <c:pt idx="112">
                  <c:v>6.2634340909827113E-2</c:v>
                </c:pt>
                <c:pt idx="113">
                  <c:v>7.9942084140375957E-2</c:v>
                </c:pt>
                <c:pt idx="114">
                  <c:v>9.2336714872945258E-2</c:v>
                </c:pt>
                <c:pt idx="115">
                  <c:v>9.3659019351192141E-2</c:v>
                </c:pt>
                <c:pt idx="116">
                  <c:v>9.3659019351192141E-2</c:v>
                </c:pt>
                <c:pt idx="117">
                  <c:v>-2.186596176249167E-2</c:v>
                </c:pt>
                <c:pt idx="118">
                  <c:v>-5.8957022088763411E-2</c:v>
                </c:pt>
                <c:pt idx="119">
                  <c:v>-3.7367075710315278E-2</c:v>
                </c:pt>
                <c:pt idx="120">
                  <c:v>-6.9644603520551129E-3</c:v>
                </c:pt>
                <c:pt idx="121">
                  <c:v>5.5870617572149062E-3</c:v>
                </c:pt>
                <c:pt idx="122">
                  <c:v>9.0090332495522674E-3</c:v>
                </c:pt>
                <c:pt idx="123">
                  <c:v>1.1365294924393865E-2</c:v>
                </c:pt>
                <c:pt idx="124">
                  <c:v>1.6591641329971152E-2</c:v>
                </c:pt>
                <c:pt idx="125">
                  <c:v>1.7702284396992285E-2</c:v>
                </c:pt>
                <c:pt idx="126">
                  <c:v>1.5928626090379927E-2</c:v>
                </c:pt>
                <c:pt idx="127">
                  <c:v>1.8919635418214398E-2</c:v>
                </c:pt>
                <c:pt idx="128">
                  <c:v>1.5673284626551043E-2</c:v>
                </c:pt>
                <c:pt idx="129">
                  <c:v>1.5673284626551043E-2</c:v>
                </c:pt>
                <c:pt idx="130">
                  <c:v>0.12092111634661062</c:v>
                </c:pt>
                <c:pt idx="131">
                  <c:v>0.12071293407638972</c:v>
                </c:pt>
                <c:pt idx="132">
                  <c:v>0.10716020165602758</c:v>
                </c:pt>
                <c:pt idx="133">
                  <c:v>7.2598266207307693E-2</c:v>
                </c:pt>
                <c:pt idx="134">
                  <c:v>5.2999999999999999E-2</c:v>
                </c:pt>
                <c:pt idx="135">
                  <c:v>5.1999999999999998E-2</c:v>
                </c:pt>
                <c:pt idx="136">
                  <c:v>5.5E-2</c:v>
                </c:pt>
                <c:pt idx="137">
                  <c:v>0.05</c:v>
                </c:pt>
                <c:pt idx="138">
                  <c:v>4.7E-2</c:v>
                </c:pt>
                <c:pt idx="139">
                  <c:v>4.4999999999999998E-2</c:v>
                </c:pt>
                <c:pt idx="140">
                  <c:v>4.3999999999999997E-2</c:v>
                </c:pt>
                <c:pt idx="141">
                  <c:v>4.5999999999999999E-2</c:v>
                </c:pt>
                <c:pt idx="142" formatCode="0.00%">
                  <c:v>4.5999999999999999E-2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49-4D7F-A3CF-8B2FA84DE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511631"/>
        <c:axId val="30346591"/>
      </c:scatterChart>
      <c:valAx>
        <c:axId val="1695511631"/>
        <c:scaling>
          <c:orientation val="minMax"/>
          <c:max val="20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30346591"/>
        <c:crosses val="autoZero"/>
        <c:crossBetween val="midCat"/>
      </c:valAx>
      <c:valAx>
        <c:axId val="3034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695511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Mánaðarleg meðaluferð</a:t>
            </a:r>
          </a:p>
        </c:rich>
      </c:tx>
      <c:layout>
        <c:manualLayout>
          <c:xMode val="edge"/>
          <c:yMode val="edge"/>
          <c:x val="0.35596096858860388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7657035814071628"/>
          <c:y val="7.9120370370370396E-2"/>
          <c:w val="0.76934362035390735"/>
          <c:h val="0.8134802420530765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Götuumferð!$P$102:$P$257</c:f>
              <c:numCache>
                <c:formatCode>General</c:formatCode>
                <c:ptCount val="156"/>
                <c:pt idx="0">
                  <c:v>2012</c:v>
                </c:pt>
                <c:pt idx="1">
                  <c:v>2012.0769230769231</c:v>
                </c:pt>
                <c:pt idx="2">
                  <c:v>2012.1538461538462</c:v>
                </c:pt>
                <c:pt idx="3">
                  <c:v>2012.2307692307693</c:v>
                </c:pt>
                <c:pt idx="4">
                  <c:v>2012.3076923076924</c:v>
                </c:pt>
                <c:pt idx="5">
                  <c:v>2012.3846153846155</c:v>
                </c:pt>
                <c:pt idx="6">
                  <c:v>2012.4615384615386</c:v>
                </c:pt>
                <c:pt idx="7">
                  <c:v>2012.5384615384617</c:v>
                </c:pt>
                <c:pt idx="8">
                  <c:v>2012.6153846153848</c:v>
                </c:pt>
                <c:pt idx="9">
                  <c:v>2012.6923076923078</c:v>
                </c:pt>
                <c:pt idx="10">
                  <c:v>2012.7692307692309</c:v>
                </c:pt>
                <c:pt idx="11">
                  <c:v>2012.846153846154</c:v>
                </c:pt>
                <c:pt idx="12">
                  <c:v>2012.9230769230771</c:v>
                </c:pt>
                <c:pt idx="13">
                  <c:v>2013</c:v>
                </c:pt>
                <c:pt idx="14">
                  <c:v>2013.0769230769231</c:v>
                </c:pt>
                <c:pt idx="15">
                  <c:v>2013.1538461538462</c:v>
                </c:pt>
                <c:pt idx="16">
                  <c:v>2013.2307692307693</c:v>
                </c:pt>
                <c:pt idx="17">
                  <c:v>2013.3076923076924</c:v>
                </c:pt>
                <c:pt idx="18">
                  <c:v>2013.3846153846155</c:v>
                </c:pt>
                <c:pt idx="19">
                  <c:v>2013.4615384615386</c:v>
                </c:pt>
                <c:pt idx="20">
                  <c:v>2013.5384615384617</c:v>
                </c:pt>
                <c:pt idx="21">
                  <c:v>2013.6153846153848</c:v>
                </c:pt>
                <c:pt idx="22">
                  <c:v>2013.6923076923078</c:v>
                </c:pt>
                <c:pt idx="23">
                  <c:v>2013.7692307692309</c:v>
                </c:pt>
                <c:pt idx="24">
                  <c:v>2013.846153846154</c:v>
                </c:pt>
                <c:pt idx="25">
                  <c:v>2013.9230769230771</c:v>
                </c:pt>
                <c:pt idx="26">
                  <c:v>2014.0000000000002</c:v>
                </c:pt>
                <c:pt idx="27">
                  <c:v>2014.0769230769233</c:v>
                </c:pt>
                <c:pt idx="28">
                  <c:v>2014.1538461538464</c:v>
                </c:pt>
                <c:pt idx="29">
                  <c:v>2014.2307692307695</c:v>
                </c:pt>
                <c:pt idx="30">
                  <c:v>2014.3076923076926</c:v>
                </c:pt>
                <c:pt idx="31">
                  <c:v>2014.3846153846157</c:v>
                </c:pt>
                <c:pt idx="32">
                  <c:v>2014.4615384615388</c:v>
                </c:pt>
                <c:pt idx="33">
                  <c:v>2014.5384615384619</c:v>
                </c:pt>
                <c:pt idx="34">
                  <c:v>2014.615384615385</c:v>
                </c:pt>
                <c:pt idx="35">
                  <c:v>2014.6923076923081</c:v>
                </c:pt>
                <c:pt idx="36">
                  <c:v>2014.7692307692312</c:v>
                </c:pt>
                <c:pt idx="37">
                  <c:v>2014.8461538461543</c:v>
                </c:pt>
                <c:pt idx="38">
                  <c:v>2014.9230769230774</c:v>
                </c:pt>
                <c:pt idx="39">
                  <c:v>2015.0000000000005</c:v>
                </c:pt>
                <c:pt idx="40">
                  <c:v>2015.0769230769235</c:v>
                </c:pt>
                <c:pt idx="41">
                  <c:v>2015.1538461538466</c:v>
                </c:pt>
                <c:pt idx="42">
                  <c:v>2015.2307692307697</c:v>
                </c:pt>
                <c:pt idx="43">
                  <c:v>2015.3076923076928</c:v>
                </c:pt>
                <c:pt idx="44">
                  <c:v>2015.3846153846159</c:v>
                </c:pt>
                <c:pt idx="45">
                  <c:v>2015.461538461539</c:v>
                </c:pt>
                <c:pt idx="46">
                  <c:v>2015.5384615384621</c:v>
                </c:pt>
                <c:pt idx="47">
                  <c:v>2015.6153846153852</c:v>
                </c:pt>
                <c:pt idx="48">
                  <c:v>2015.6923076923083</c:v>
                </c:pt>
                <c:pt idx="49">
                  <c:v>2015.7692307692314</c:v>
                </c:pt>
                <c:pt idx="50">
                  <c:v>2015.8461538461545</c:v>
                </c:pt>
                <c:pt idx="51">
                  <c:v>2015.9230769230776</c:v>
                </c:pt>
                <c:pt idx="52">
                  <c:v>2016.0000000000007</c:v>
                </c:pt>
                <c:pt idx="53">
                  <c:v>2016.0769230769238</c:v>
                </c:pt>
                <c:pt idx="54">
                  <c:v>2016.1538461538469</c:v>
                </c:pt>
                <c:pt idx="55">
                  <c:v>2016.23076923077</c:v>
                </c:pt>
                <c:pt idx="56">
                  <c:v>2016.3076923076931</c:v>
                </c:pt>
                <c:pt idx="57">
                  <c:v>2016.3846153846162</c:v>
                </c:pt>
                <c:pt idx="58">
                  <c:v>2016.4615384615392</c:v>
                </c:pt>
                <c:pt idx="59">
                  <c:v>2016.5384615384623</c:v>
                </c:pt>
                <c:pt idx="60">
                  <c:v>2016.6153846153854</c:v>
                </c:pt>
                <c:pt idx="61">
                  <c:v>2016.6923076923085</c:v>
                </c:pt>
                <c:pt idx="62">
                  <c:v>2016.7692307692316</c:v>
                </c:pt>
                <c:pt idx="63">
                  <c:v>2016.8461538461547</c:v>
                </c:pt>
                <c:pt idx="64">
                  <c:v>2016.9230769230778</c:v>
                </c:pt>
                <c:pt idx="65">
                  <c:v>2017.0000000000009</c:v>
                </c:pt>
                <c:pt idx="66">
                  <c:v>2017.076923076924</c:v>
                </c:pt>
                <c:pt idx="67">
                  <c:v>2017.1538461538471</c:v>
                </c:pt>
                <c:pt idx="68">
                  <c:v>2017.2307692307702</c:v>
                </c:pt>
                <c:pt idx="69">
                  <c:v>2017.3076923076933</c:v>
                </c:pt>
                <c:pt idx="70">
                  <c:v>2017.3846153846164</c:v>
                </c:pt>
                <c:pt idx="71">
                  <c:v>2017.4615384615395</c:v>
                </c:pt>
                <c:pt idx="72">
                  <c:v>2017.5384615384626</c:v>
                </c:pt>
                <c:pt idx="73">
                  <c:v>2017.6153846153857</c:v>
                </c:pt>
                <c:pt idx="74">
                  <c:v>2017.6923076923088</c:v>
                </c:pt>
                <c:pt idx="75">
                  <c:v>2017.7692307692319</c:v>
                </c:pt>
                <c:pt idx="76">
                  <c:v>2017.8461538461549</c:v>
                </c:pt>
                <c:pt idx="77">
                  <c:v>2017.923076923078</c:v>
                </c:pt>
                <c:pt idx="78">
                  <c:v>2018.0000000000011</c:v>
                </c:pt>
                <c:pt idx="79">
                  <c:v>2018.0769230769242</c:v>
                </c:pt>
                <c:pt idx="80">
                  <c:v>2018.1538461538473</c:v>
                </c:pt>
                <c:pt idx="81">
                  <c:v>2018.2307692307704</c:v>
                </c:pt>
                <c:pt idx="82">
                  <c:v>2018.3076923076935</c:v>
                </c:pt>
                <c:pt idx="83">
                  <c:v>2018.3846153846166</c:v>
                </c:pt>
                <c:pt idx="84">
                  <c:v>2018.4615384615397</c:v>
                </c:pt>
                <c:pt idx="85">
                  <c:v>2018.5384615384628</c:v>
                </c:pt>
                <c:pt idx="86">
                  <c:v>2018.6153846153859</c:v>
                </c:pt>
                <c:pt idx="87">
                  <c:v>2018.692307692309</c:v>
                </c:pt>
                <c:pt idx="88">
                  <c:v>2018.7692307692321</c:v>
                </c:pt>
                <c:pt idx="89">
                  <c:v>2018.8461538461552</c:v>
                </c:pt>
                <c:pt idx="90">
                  <c:v>2018.9230769230783</c:v>
                </c:pt>
                <c:pt idx="91">
                  <c:v>2019.0000000000014</c:v>
                </c:pt>
                <c:pt idx="92">
                  <c:v>2019.0769230769245</c:v>
                </c:pt>
                <c:pt idx="93">
                  <c:v>2019.1538461538476</c:v>
                </c:pt>
                <c:pt idx="94">
                  <c:v>2019.2307692307706</c:v>
                </c:pt>
                <c:pt idx="95">
                  <c:v>2019.3076923076937</c:v>
                </c:pt>
                <c:pt idx="96">
                  <c:v>2019.3846153846168</c:v>
                </c:pt>
                <c:pt idx="97">
                  <c:v>2019.4615384615399</c:v>
                </c:pt>
                <c:pt idx="98">
                  <c:v>2019.538461538463</c:v>
                </c:pt>
                <c:pt idx="99">
                  <c:v>2019.6153846153861</c:v>
                </c:pt>
                <c:pt idx="100">
                  <c:v>2019.6923076923092</c:v>
                </c:pt>
                <c:pt idx="101">
                  <c:v>2019.7692307692323</c:v>
                </c:pt>
                <c:pt idx="102">
                  <c:v>2019.8461538461554</c:v>
                </c:pt>
                <c:pt idx="103">
                  <c:v>2019.9230769230785</c:v>
                </c:pt>
                <c:pt idx="104">
                  <c:v>2020.0000000000016</c:v>
                </c:pt>
                <c:pt idx="105">
                  <c:v>2020.0769230769247</c:v>
                </c:pt>
                <c:pt idx="106">
                  <c:v>2020.1538461538478</c:v>
                </c:pt>
                <c:pt idx="107">
                  <c:v>2020.2307692307709</c:v>
                </c:pt>
                <c:pt idx="108">
                  <c:v>2020.307692307694</c:v>
                </c:pt>
                <c:pt idx="109">
                  <c:v>2020.3846153846171</c:v>
                </c:pt>
                <c:pt idx="110">
                  <c:v>2020.4615384615402</c:v>
                </c:pt>
                <c:pt idx="111">
                  <c:v>2020.5384615384633</c:v>
                </c:pt>
                <c:pt idx="112">
                  <c:v>2020.6153846153863</c:v>
                </c:pt>
                <c:pt idx="113">
                  <c:v>2020.6923076923094</c:v>
                </c:pt>
                <c:pt idx="114">
                  <c:v>2020.7692307692325</c:v>
                </c:pt>
                <c:pt idx="115">
                  <c:v>2020.8461538461556</c:v>
                </c:pt>
                <c:pt idx="116">
                  <c:v>2020.9230769230787</c:v>
                </c:pt>
                <c:pt idx="117">
                  <c:v>2021.0000000000018</c:v>
                </c:pt>
                <c:pt idx="118">
                  <c:v>2021.0769230769249</c:v>
                </c:pt>
                <c:pt idx="119">
                  <c:v>2021.153846153848</c:v>
                </c:pt>
                <c:pt idx="120">
                  <c:v>2021.2307692307711</c:v>
                </c:pt>
                <c:pt idx="121">
                  <c:v>2021.3076923076942</c:v>
                </c:pt>
                <c:pt idx="122">
                  <c:v>2021.3846153846173</c:v>
                </c:pt>
                <c:pt idx="123">
                  <c:v>2021.4615384615404</c:v>
                </c:pt>
                <c:pt idx="124">
                  <c:v>2021.5384615384635</c:v>
                </c:pt>
                <c:pt idx="125">
                  <c:v>2021.6153846153866</c:v>
                </c:pt>
                <c:pt idx="126">
                  <c:v>2021.6923076923097</c:v>
                </c:pt>
                <c:pt idx="127">
                  <c:v>2021.7692307692328</c:v>
                </c:pt>
                <c:pt idx="128">
                  <c:v>2021.8461538461559</c:v>
                </c:pt>
                <c:pt idx="129">
                  <c:v>2021.923076923079</c:v>
                </c:pt>
                <c:pt idx="130">
                  <c:v>2022.000000000002</c:v>
                </c:pt>
                <c:pt idx="131">
                  <c:v>2022.0769230769251</c:v>
                </c:pt>
                <c:pt idx="132">
                  <c:v>2022.1538461538482</c:v>
                </c:pt>
                <c:pt idx="133">
                  <c:v>2022.2307692307713</c:v>
                </c:pt>
                <c:pt idx="134">
                  <c:v>2022.3076923076944</c:v>
                </c:pt>
                <c:pt idx="135">
                  <c:v>2022.3846153846175</c:v>
                </c:pt>
                <c:pt idx="136">
                  <c:v>2022.4615384615406</c:v>
                </c:pt>
                <c:pt idx="137">
                  <c:v>2022.5384615384637</c:v>
                </c:pt>
                <c:pt idx="138">
                  <c:v>2022.6153846153868</c:v>
                </c:pt>
                <c:pt idx="139">
                  <c:v>2022.6923076923099</c:v>
                </c:pt>
                <c:pt idx="140">
                  <c:v>2022.769230769233</c:v>
                </c:pt>
                <c:pt idx="141">
                  <c:v>2022.8461538461561</c:v>
                </c:pt>
                <c:pt idx="142">
                  <c:v>2022.9230769230792</c:v>
                </c:pt>
                <c:pt idx="143">
                  <c:v>2023.0000000000023</c:v>
                </c:pt>
                <c:pt idx="144">
                  <c:v>2023.0769230769254</c:v>
                </c:pt>
                <c:pt idx="145">
                  <c:v>2023.1538461538485</c:v>
                </c:pt>
                <c:pt idx="146">
                  <c:v>2023.2307692307716</c:v>
                </c:pt>
                <c:pt idx="147">
                  <c:v>2023.3076923076947</c:v>
                </c:pt>
                <c:pt idx="148">
                  <c:v>2023.3846153846177</c:v>
                </c:pt>
                <c:pt idx="149">
                  <c:v>2023.4615384615408</c:v>
                </c:pt>
                <c:pt idx="150">
                  <c:v>2023.5384615384639</c:v>
                </c:pt>
                <c:pt idx="151">
                  <c:v>2023.615384615387</c:v>
                </c:pt>
                <c:pt idx="152">
                  <c:v>2023.6923076923101</c:v>
                </c:pt>
                <c:pt idx="153">
                  <c:v>2023.7692307692332</c:v>
                </c:pt>
                <c:pt idx="154">
                  <c:v>2023.8461538461563</c:v>
                </c:pt>
                <c:pt idx="155">
                  <c:v>2023.9230769230794</c:v>
                </c:pt>
              </c:numCache>
            </c:numRef>
          </c:xVal>
          <c:yVal>
            <c:numRef>
              <c:f>Götuumferð!$F$102:$F$256</c:f>
              <c:numCache>
                <c:formatCode>#,##0</c:formatCode>
                <c:ptCount val="155"/>
                <c:pt idx="0">
                  <c:v>114920</c:v>
                </c:pt>
                <c:pt idx="1">
                  <c:v>124655</c:v>
                </c:pt>
                <c:pt idx="2">
                  <c:v>126787.12982251594</c:v>
                </c:pt>
                <c:pt idx="3">
                  <c:v>121114</c:v>
                </c:pt>
                <c:pt idx="4">
                  <c:v>131363</c:v>
                </c:pt>
                <c:pt idx="5">
                  <c:v>133039</c:v>
                </c:pt>
                <c:pt idx="6">
                  <c:v>123314</c:v>
                </c:pt>
                <c:pt idx="7">
                  <c:v>129130</c:v>
                </c:pt>
                <c:pt idx="8">
                  <c:v>131660</c:v>
                </c:pt>
                <c:pt idx="9">
                  <c:v>131336</c:v>
                </c:pt>
                <c:pt idx="10">
                  <c:v>129557</c:v>
                </c:pt>
                <c:pt idx="11">
                  <c:v>127619</c:v>
                </c:pt>
                <c:pt idx="12">
                  <c:v>127041.17748520966</c:v>
                </c:pt>
                <c:pt idx="13">
                  <c:v>122677</c:v>
                </c:pt>
                <c:pt idx="14">
                  <c:v>128607</c:v>
                </c:pt>
                <c:pt idx="15">
                  <c:v>125049</c:v>
                </c:pt>
                <c:pt idx="16">
                  <c:v>131324.99245461533</c:v>
                </c:pt>
                <c:pt idx="17">
                  <c:v>135079.0724319641</c:v>
                </c:pt>
                <c:pt idx="18">
                  <c:v>133437.10595147865</c:v>
                </c:pt>
                <c:pt idx="19">
                  <c:v>126985.05661823777</c:v>
                </c:pt>
                <c:pt idx="20">
                  <c:v>133973.6944587281</c:v>
                </c:pt>
                <c:pt idx="21">
                  <c:v>132580.02396977026</c:v>
                </c:pt>
                <c:pt idx="22">
                  <c:v>135505.00832229911</c:v>
                </c:pt>
                <c:pt idx="23">
                  <c:v>131994.91955089409</c:v>
                </c:pt>
                <c:pt idx="24">
                  <c:v>130278.68986201713</c:v>
                </c:pt>
                <c:pt idx="25">
                  <c:v>130624.29696833367</c:v>
                </c:pt>
                <c:pt idx="26">
                  <c:v>127582.85506425255</c:v>
                </c:pt>
                <c:pt idx="27">
                  <c:v>133320</c:v>
                </c:pt>
                <c:pt idx="28">
                  <c:v>133176</c:v>
                </c:pt>
                <c:pt idx="29">
                  <c:v>131191</c:v>
                </c:pt>
                <c:pt idx="30">
                  <c:v>140104</c:v>
                </c:pt>
                <c:pt idx="31">
                  <c:v>135952</c:v>
                </c:pt>
                <c:pt idx="32">
                  <c:v>130910.96730033901</c:v>
                </c:pt>
                <c:pt idx="33">
                  <c:v>135183</c:v>
                </c:pt>
                <c:pt idx="34">
                  <c:v>140169.33990517911</c:v>
                </c:pt>
                <c:pt idx="35">
                  <c:v>140238</c:v>
                </c:pt>
                <c:pt idx="36">
                  <c:v>135830</c:v>
                </c:pt>
                <c:pt idx="37">
                  <c:v>130689</c:v>
                </c:pt>
                <c:pt idx="38">
                  <c:v>134528.84685581422</c:v>
                </c:pt>
                <c:pt idx="39">
                  <c:v>127784.35483870967</c:v>
                </c:pt>
                <c:pt idx="40">
                  <c:v>132240.03571428571</c:v>
                </c:pt>
                <c:pt idx="41">
                  <c:v>137544.35483870967</c:v>
                </c:pt>
                <c:pt idx="42">
                  <c:v>135038.46666666667</c:v>
                </c:pt>
                <c:pt idx="43">
                  <c:v>142690.25806451612</c:v>
                </c:pt>
                <c:pt idx="44">
                  <c:v>146647.33129889841</c:v>
                </c:pt>
                <c:pt idx="45">
                  <c:v>140560.91989411411</c:v>
                </c:pt>
                <c:pt idx="46">
                  <c:v>144492.2774284608</c:v>
                </c:pt>
                <c:pt idx="47">
                  <c:v>148973.64979378763</c:v>
                </c:pt>
                <c:pt idx="48">
                  <c:v>146687.85798477835</c:v>
                </c:pt>
                <c:pt idx="49">
                  <c:v>143355.16666666666</c:v>
                </c:pt>
                <c:pt idx="50">
                  <c:v>136569.90322580645</c:v>
                </c:pt>
                <c:pt idx="51">
                  <c:v>140215</c:v>
                </c:pt>
                <c:pt idx="52">
                  <c:v>133907.25806451612</c:v>
                </c:pt>
                <c:pt idx="53">
                  <c:v>141893.41379310345</c:v>
                </c:pt>
                <c:pt idx="54">
                  <c:v>142175.16129032261</c:v>
                </c:pt>
                <c:pt idx="55">
                  <c:v>152501.53333333333</c:v>
                </c:pt>
                <c:pt idx="56">
                  <c:v>153574.46559858267</c:v>
                </c:pt>
                <c:pt idx="57">
                  <c:v>152870.06666666668</c:v>
                </c:pt>
                <c:pt idx="58">
                  <c:v>145544.09677419355</c:v>
                </c:pt>
                <c:pt idx="59">
                  <c:v>157784.38709677418</c:v>
                </c:pt>
                <c:pt idx="60">
                  <c:v>161001.70000000001</c:v>
                </c:pt>
                <c:pt idx="61">
                  <c:v>153020.90322580645</c:v>
                </c:pt>
                <c:pt idx="62">
                  <c:v>156094.46666666667</c:v>
                </c:pt>
                <c:pt idx="63">
                  <c:v>153443.70967741936</c:v>
                </c:pt>
                <c:pt idx="64">
                  <c:v>150300</c:v>
                </c:pt>
                <c:pt idx="65">
                  <c:v>146306.93548387097</c:v>
                </c:pt>
                <c:pt idx="66">
                  <c:v>151142.28566069758</c:v>
                </c:pt>
                <c:pt idx="67">
                  <c:v>162935.67741935485</c:v>
                </c:pt>
                <c:pt idx="68">
                  <c:v>160216.08333333334</c:v>
                </c:pt>
                <c:pt idx="69">
                  <c:v>166065.36774929776</c:v>
                </c:pt>
                <c:pt idx="70">
                  <c:v>168979.39957802644</c:v>
                </c:pt>
                <c:pt idx="71">
                  <c:v>159375.10882859671</c:v>
                </c:pt>
                <c:pt idx="72">
                  <c:v>167992.19354838709</c:v>
                </c:pt>
                <c:pt idx="73">
                  <c:v>172525.83333333331</c:v>
                </c:pt>
                <c:pt idx="74">
                  <c:v>166860.80645161291</c:v>
                </c:pt>
                <c:pt idx="75">
                  <c:v>164657.29999999999</c:v>
                </c:pt>
                <c:pt idx="76">
                  <c:v>161108.29032258064</c:v>
                </c:pt>
                <c:pt idx="77">
                  <c:v>162347.10680909097</c:v>
                </c:pt>
                <c:pt idx="78">
                  <c:v>153041.22580645164</c:v>
                </c:pt>
                <c:pt idx="79">
                  <c:v>154140.13285456505</c:v>
                </c:pt>
                <c:pt idx="80">
                  <c:v>166896.53030433343</c:v>
                </c:pt>
                <c:pt idx="81">
                  <c:v>166930.02031564282</c:v>
                </c:pt>
                <c:pt idx="82">
                  <c:v>170404.80645161291</c:v>
                </c:pt>
                <c:pt idx="83">
                  <c:v>173290.96666666667</c:v>
                </c:pt>
                <c:pt idx="84">
                  <c:v>163460.13175129151</c:v>
                </c:pt>
                <c:pt idx="85">
                  <c:v>172000.87096774194</c:v>
                </c:pt>
                <c:pt idx="86">
                  <c:v>175115.5</c:v>
                </c:pt>
                <c:pt idx="87">
                  <c:v>173706.58064516127</c:v>
                </c:pt>
                <c:pt idx="88">
                  <c:v>171868.5</c:v>
                </c:pt>
                <c:pt idx="89">
                  <c:v>161941.41935483873</c:v>
                </c:pt>
                <c:pt idx="90">
                  <c:v>166899.72375985884</c:v>
                </c:pt>
                <c:pt idx="91">
                  <c:v>155523.29032258064</c:v>
                </c:pt>
                <c:pt idx="92">
                  <c:v>165020.07142857142</c:v>
                </c:pt>
                <c:pt idx="93">
                  <c:v>168276.87096774194</c:v>
                </c:pt>
                <c:pt idx="94">
                  <c:v>162648.09999999998</c:v>
                </c:pt>
                <c:pt idx="95">
                  <c:v>178474.38709677418</c:v>
                </c:pt>
                <c:pt idx="96">
                  <c:v>170723.86666666667</c:v>
                </c:pt>
                <c:pt idx="97">
                  <c:v>167139.74193548388</c:v>
                </c:pt>
                <c:pt idx="98">
                  <c:v>172613.93548387097</c:v>
                </c:pt>
                <c:pt idx="99">
                  <c:v>175667.75128192778</c:v>
                </c:pt>
                <c:pt idx="100">
                  <c:v>176501.19719904271</c:v>
                </c:pt>
                <c:pt idx="101">
                  <c:v>172162.63333333333</c:v>
                </c:pt>
                <c:pt idx="102">
                  <c:v>160250.09677419355</c:v>
                </c:pt>
                <c:pt idx="103">
                  <c:v>168750</c:v>
                </c:pt>
                <c:pt idx="104">
                  <c:v>153067.22580645164</c:v>
                </c:pt>
                <c:pt idx="105">
                  <c:v>163580.62068965519</c:v>
                </c:pt>
                <c:pt idx="106">
                  <c:v>133500.54838709679</c:v>
                </c:pt>
                <c:pt idx="107">
                  <c:v>117546.46666666667</c:v>
                </c:pt>
                <c:pt idx="108">
                  <c:v>161461.32258064515</c:v>
                </c:pt>
                <c:pt idx="109">
                  <c:v>172843.8</c:v>
                </c:pt>
                <c:pt idx="110">
                  <c:v>161421.5806451613</c:v>
                </c:pt>
                <c:pt idx="111">
                  <c:v>160070.93548387097</c:v>
                </c:pt>
                <c:pt idx="112">
                  <c:v>167850.76666666666</c:v>
                </c:pt>
                <c:pt idx="113">
                  <c:v>141283.22580645161</c:v>
                </c:pt>
                <c:pt idx="114">
                  <c:v>137719.79999999999</c:v>
                </c:pt>
                <c:pt idx="115">
                  <c:v>147959.19354838709</c:v>
                </c:pt>
                <c:pt idx="117">
                  <c:v>143242.22580645161</c:v>
                </c:pt>
                <c:pt idx="118">
                  <c:v>162318.5</c:v>
                </c:pt>
                <c:pt idx="119">
                  <c:v>166474.16129032258</c:v>
                </c:pt>
                <c:pt idx="120">
                  <c:v>154713.36666666667</c:v>
                </c:pt>
                <c:pt idx="121">
                  <c:v>174354.54838709679</c:v>
                </c:pt>
                <c:pt idx="122">
                  <c:v>173782.2</c:v>
                </c:pt>
                <c:pt idx="123">
                  <c:v>156418.16129032258</c:v>
                </c:pt>
                <c:pt idx="124">
                  <c:v>169324.87096774194</c:v>
                </c:pt>
                <c:pt idx="125">
                  <c:v>177861.10102086107</c:v>
                </c:pt>
                <c:pt idx="126">
                  <c:v>176658.71334100649</c:v>
                </c:pt>
                <c:pt idx="127">
                  <c:v>169432.73333333334</c:v>
                </c:pt>
                <c:pt idx="128">
                  <c:v>164025.61290322582</c:v>
                </c:pt>
                <c:pt idx="130">
                  <c:v>140110.09677419355</c:v>
                </c:pt>
                <c:pt idx="131">
                  <c:v>147435.67857142858</c:v>
                </c:pt>
                <c:pt idx="132">
                  <c:v>166850.54838709679</c:v>
                </c:pt>
                <c:pt idx="133">
                  <c:v>167986.96666666667</c:v>
                </c:pt>
                <c:pt idx="134">
                  <c:v>183195.32258064515</c:v>
                </c:pt>
                <c:pt idx="135">
                  <c:v>178089.16056937104</c:v>
                </c:pt>
                <c:pt idx="136">
                  <c:v>160492.98399286374</c:v>
                </c:pt>
                <c:pt idx="137">
                  <c:v>178046.83071694971</c:v>
                </c:pt>
                <c:pt idx="138">
                  <c:v>182454.18232348384</c:v>
                </c:pt>
                <c:pt idx="139">
                  <c:v>176850.30939513227</c:v>
                </c:pt>
                <c:pt idx="140">
                  <c:v>177588.9015305292</c:v>
                </c:pt>
                <c:pt idx="141">
                  <c:v>160673.20440313619</c:v>
                </c:pt>
                <c:pt idx="143">
                  <c:v>157052.36608756069</c:v>
                </c:pt>
                <c:pt idx="144">
                  <c:v>165203.90348130188</c:v>
                </c:pt>
                <c:pt idx="145">
                  <c:v>180833.25584681204</c:v>
                </c:pt>
                <c:pt idx="146">
                  <c:v>164477.71278310576</c:v>
                </c:pt>
                <c:pt idx="147">
                  <c:v>180415</c:v>
                </c:pt>
                <c:pt idx="148">
                  <c:v>187268</c:v>
                </c:pt>
                <c:pt idx="149">
                  <c:v>172236</c:v>
                </c:pt>
                <c:pt idx="150">
                  <c:v>180369</c:v>
                </c:pt>
                <c:pt idx="151">
                  <c:v>187216</c:v>
                </c:pt>
                <c:pt idx="152">
                  <c:v>181720</c:v>
                </c:pt>
                <c:pt idx="153">
                  <c:v>183772</c:v>
                </c:pt>
                <c:pt idx="154">
                  <c:v>172630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F9-456F-8071-AB704300D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511631"/>
        <c:axId val="30346591"/>
      </c:scatterChart>
      <c:valAx>
        <c:axId val="1695511631"/>
        <c:scaling>
          <c:orientation val="minMax"/>
          <c:max val="2025"/>
          <c:min val="2012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30346591"/>
        <c:crosses val="autoZero"/>
        <c:crossBetween val="midCat"/>
      </c:valAx>
      <c:valAx>
        <c:axId val="3034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Meðalumferð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695511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Götuumferð!$P$180:$P$257</c:f>
              <c:numCache>
                <c:formatCode>General</c:formatCode>
                <c:ptCount val="78"/>
                <c:pt idx="0">
                  <c:v>2018.0000000000011</c:v>
                </c:pt>
                <c:pt idx="1">
                  <c:v>2018.0769230769242</c:v>
                </c:pt>
                <c:pt idx="2">
                  <c:v>2018.1538461538473</c:v>
                </c:pt>
                <c:pt idx="3">
                  <c:v>2018.2307692307704</c:v>
                </c:pt>
                <c:pt idx="4">
                  <c:v>2018.3076923076935</c:v>
                </c:pt>
                <c:pt idx="5">
                  <c:v>2018.3846153846166</c:v>
                </c:pt>
                <c:pt idx="6">
                  <c:v>2018.4615384615397</c:v>
                </c:pt>
                <c:pt idx="7">
                  <c:v>2018.5384615384628</c:v>
                </c:pt>
                <c:pt idx="8">
                  <c:v>2018.6153846153859</c:v>
                </c:pt>
                <c:pt idx="9">
                  <c:v>2018.692307692309</c:v>
                </c:pt>
                <c:pt idx="10">
                  <c:v>2018.7692307692321</c:v>
                </c:pt>
                <c:pt idx="11">
                  <c:v>2018.8461538461552</c:v>
                </c:pt>
                <c:pt idx="12">
                  <c:v>2018.9230769230783</c:v>
                </c:pt>
                <c:pt idx="13">
                  <c:v>2019.0000000000014</c:v>
                </c:pt>
                <c:pt idx="14">
                  <c:v>2019.0769230769245</c:v>
                </c:pt>
                <c:pt idx="15">
                  <c:v>2019.1538461538476</c:v>
                </c:pt>
                <c:pt idx="16">
                  <c:v>2019.2307692307706</c:v>
                </c:pt>
                <c:pt idx="17">
                  <c:v>2019.3076923076937</c:v>
                </c:pt>
                <c:pt idx="18">
                  <c:v>2019.3846153846168</c:v>
                </c:pt>
                <c:pt idx="19">
                  <c:v>2019.4615384615399</c:v>
                </c:pt>
                <c:pt idx="20">
                  <c:v>2019.538461538463</c:v>
                </c:pt>
                <c:pt idx="21">
                  <c:v>2019.6153846153861</c:v>
                </c:pt>
                <c:pt idx="22">
                  <c:v>2019.6923076923092</c:v>
                </c:pt>
                <c:pt idx="23">
                  <c:v>2019.7692307692323</c:v>
                </c:pt>
                <c:pt idx="24">
                  <c:v>2019.8461538461554</c:v>
                </c:pt>
                <c:pt idx="25">
                  <c:v>2019.9230769230785</c:v>
                </c:pt>
                <c:pt idx="26">
                  <c:v>2020.0000000000016</c:v>
                </c:pt>
                <c:pt idx="27">
                  <c:v>2020.0769230769247</c:v>
                </c:pt>
                <c:pt idx="28">
                  <c:v>2020.1538461538478</c:v>
                </c:pt>
                <c:pt idx="29">
                  <c:v>2020.2307692307709</c:v>
                </c:pt>
                <c:pt idx="30">
                  <c:v>2020.307692307694</c:v>
                </c:pt>
                <c:pt idx="31">
                  <c:v>2020.3846153846171</c:v>
                </c:pt>
                <c:pt idx="32">
                  <c:v>2020.4615384615402</c:v>
                </c:pt>
                <c:pt idx="33">
                  <c:v>2020.5384615384633</c:v>
                </c:pt>
                <c:pt idx="34">
                  <c:v>2020.6153846153863</c:v>
                </c:pt>
                <c:pt idx="35">
                  <c:v>2020.6923076923094</c:v>
                </c:pt>
                <c:pt idx="36">
                  <c:v>2020.7692307692325</c:v>
                </c:pt>
                <c:pt idx="37">
                  <c:v>2020.8461538461556</c:v>
                </c:pt>
                <c:pt idx="38">
                  <c:v>2020.9230769230787</c:v>
                </c:pt>
                <c:pt idx="39">
                  <c:v>2021.0000000000018</c:v>
                </c:pt>
                <c:pt idx="40">
                  <c:v>2021.0769230769249</c:v>
                </c:pt>
                <c:pt idx="41">
                  <c:v>2021.153846153848</c:v>
                </c:pt>
                <c:pt idx="42">
                  <c:v>2021.2307692307711</c:v>
                </c:pt>
                <c:pt idx="43">
                  <c:v>2021.3076923076942</c:v>
                </c:pt>
                <c:pt idx="44">
                  <c:v>2021.3846153846173</c:v>
                </c:pt>
                <c:pt idx="45">
                  <c:v>2021.4615384615404</c:v>
                </c:pt>
                <c:pt idx="46">
                  <c:v>2021.5384615384635</c:v>
                </c:pt>
                <c:pt idx="47">
                  <c:v>2021.6153846153866</c:v>
                </c:pt>
                <c:pt idx="48">
                  <c:v>2021.6923076923097</c:v>
                </c:pt>
                <c:pt idx="49">
                  <c:v>2021.7692307692328</c:v>
                </c:pt>
                <c:pt idx="50">
                  <c:v>2021.8461538461559</c:v>
                </c:pt>
                <c:pt idx="51">
                  <c:v>2021.923076923079</c:v>
                </c:pt>
                <c:pt idx="52">
                  <c:v>2022.000000000002</c:v>
                </c:pt>
                <c:pt idx="53">
                  <c:v>2022.0769230769251</c:v>
                </c:pt>
                <c:pt idx="54">
                  <c:v>2022.1538461538482</c:v>
                </c:pt>
                <c:pt idx="55">
                  <c:v>2022.2307692307713</c:v>
                </c:pt>
                <c:pt idx="56">
                  <c:v>2022.3076923076944</c:v>
                </c:pt>
                <c:pt idx="57">
                  <c:v>2022.3846153846175</c:v>
                </c:pt>
                <c:pt idx="58">
                  <c:v>2022.4615384615406</c:v>
                </c:pt>
                <c:pt idx="59">
                  <c:v>2022.5384615384637</c:v>
                </c:pt>
                <c:pt idx="60">
                  <c:v>2022.6153846153868</c:v>
                </c:pt>
                <c:pt idx="61">
                  <c:v>2022.6923076923099</c:v>
                </c:pt>
                <c:pt idx="62">
                  <c:v>2022.769230769233</c:v>
                </c:pt>
                <c:pt idx="63">
                  <c:v>2022.8461538461561</c:v>
                </c:pt>
                <c:pt idx="64">
                  <c:v>2022.9230769230792</c:v>
                </c:pt>
                <c:pt idx="65">
                  <c:v>2023.0000000000023</c:v>
                </c:pt>
                <c:pt idx="66">
                  <c:v>2023.0769230769254</c:v>
                </c:pt>
                <c:pt idx="67">
                  <c:v>2023.1538461538485</c:v>
                </c:pt>
                <c:pt idx="68">
                  <c:v>2023.2307692307716</c:v>
                </c:pt>
                <c:pt idx="69">
                  <c:v>2023.3076923076947</c:v>
                </c:pt>
                <c:pt idx="70">
                  <c:v>2023.3846153846177</c:v>
                </c:pt>
                <c:pt idx="71">
                  <c:v>2023.4615384615408</c:v>
                </c:pt>
                <c:pt idx="72">
                  <c:v>2023.5384615384639</c:v>
                </c:pt>
                <c:pt idx="73">
                  <c:v>2023.615384615387</c:v>
                </c:pt>
                <c:pt idx="74">
                  <c:v>2023.6923076923101</c:v>
                </c:pt>
                <c:pt idx="75">
                  <c:v>2023.7692307692332</c:v>
                </c:pt>
                <c:pt idx="76">
                  <c:v>2023.8461538461563</c:v>
                </c:pt>
                <c:pt idx="77">
                  <c:v>2023.9230769230794</c:v>
                </c:pt>
              </c:numCache>
            </c:numRef>
          </c:xVal>
          <c:yVal>
            <c:numRef>
              <c:f>Götuumferð!$L$180:$L$256</c:f>
              <c:numCache>
                <c:formatCode>0.0%</c:formatCode>
                <c:ptCount val="77"/>
                <c:pt idx="0">
                  <c:v>4.6028510544006807E-2</c:v>
                </c:pt>
                <c:pt idx="1">
                  <c:v>1.9834602743784124E-2</c:v>
                </c:pt>
                <c:pt idx="2">
                  <c:v>2.4309303816771655E-2</c:v>
                </c:pt>
                <c:pt idx="3">
                  <c:v>4.1905511872618817E-2</c:v>
                </c:pt>
                <c:pt idx="4">
                  <c:v>2.6130907130897052E-2</c:v>
                </c:pt>
                <c:pt idx="5">
                  <c:v>2.5515341511492151E-2</c:v>
                </c:pt>
                <c:pt idx="6">
                  <c:v>2.5631498875323899E-2</c:v>
                </c:pt>
                <c:pt idx="7">
                  <c:v>2.386228392333134E-2</c:v>
                </c:pt>
                <c:pt idx="8">
                  <c:v>1.5010312465283171E-2</c:v>
                </c:pt>
                <c:pt idx="9">
                  <c:v>4.1026855491876901E-2</c:v>
                </c:pt>
                <c:pt idx="10">
                  <c:v>4.3795203735273347E-2</c:v>
                </c:pt>
                <c:pt idx="11">
                  <c:v>5.1712362572400306E-3</c:v>
                </c:pt>
                <c:pt idx="12">
                  <c:v>1.5241885439683404E-2</c:v>
                </c:pt>
                <c:pt idx="13">
                  <c:v>1.6218273886985379E-2</c:v>
                </c:pt>
                <c:pt idx="14">
                  <c:v>7.058472295642737E-2</c:v>
                </c:pt>
                <c:pt idx="15">
                  <c:v>8.2706372678418294E-3</c:v>
                </c:pt>
                <c:pt idx="16">
                  <c:v>-2.5650990202638724E-2</c:v>
                </c:pt>
                <c:pt idx="17">
                  <c:v>4.7355358180302565E-2</c:v>
                </c:pt>
                <c:pt idx="18">
                  <c:v>-1.4813813145482357E-2</c:v>
                </c:pt>
                <c:pt idx="19">
                  <c:v>2.2510750142982872E-2</c:v>
                </c:pt>
                <c:pt idx="20">
                  <c:v>3.564310533311188E-3</c:v>
                </c:pt>
                <c:pt idx="21">
                  <c:v>3.1536402084781923E-3</c:v>
                </c:pt>
                <c:pt idx="22">
                  <c:v>1.6088144407091498E-2</c:v>
                </c:pt>
                <c:pt idx="23">
                  <c:v>1.7113859336255199E-3</c:v>
                </c:pt>
                <c:pt idx="24">
                  <c:v>-1.0444039501341096E-2</c:v>
                </c:pt>
                <c:pt idx="26">
                  <c:v>-1.5792261795868123E-2</c:v>
                </c:pt>
                <c:pt idx="27">
                  <c:v>-8.7228827769554318E-3</c:v>
                </c:pt>
                <c:pt idx="28">
                  <c:v>-0.20666133367378603</c:v>
                </c:pt>
                <c:pt idx="29">
                  <c:v>-0.27729578970386559</c:v>
                </c:pt>
                <c:pt idx="30">
                  <c:v>1.2417322631711691E-2</c:v>
                </c:pt>
                <c:pt idx="31">
                  <c:v>1.2417322631711691E-2</c:v>
                </c:pt>
                <c:pt idx="32">
                  <c:v>-3.4211859035475745E-2</c:v>
                </c:pt>
                <c:pt idx="33">
                  <c:v>-7.2665048536431853E-2</c:v>
                </c:pt>
                <c:pt idx="34">
                  <c:v>-4.4498688906854045E-2</c:v>
                </c:pt>
                <c:pt idx="35">
                  <c:v>-0.19953389524534126</c:v>
                </c:pt>
                <c:pt idx="36">
                  <c:v>-0.20005986587488311</c:v>
                </c:pt>
                <c:pt idx="37">
                  <c:v>-7.6698257743490927E-2</c:v>
                </c:pt>
                <c:pt idx="39">
                  <c:v>-6.4187483298504433E-2</c:v>
                </c:pt>
                <c:pt idx="40">
                  <c:v>-7.7155880955463996E-3</c:v>
                </c:pt>
                <c:pt idx="41">
                  <c:v>0.24699234049298324</c:v>
                </c:pt>
                <c:pt idx="42">
                  <c:v>0.31618900213645995</c:v>
                </c:pt>
                <c:pt idx="43">
                  <c:v>7.9853339489473374E-2</c:v>
                </c:pt>
                <c:pt idx="44">
                  <c:v>5.4291794093859203E-3</c:v>
                </c:pt>
                <c:pt idx="45">
                  <c:v>-3.0995975475158422E-2</c:v>
                </c:pt>
                <c:pt idx="46">
                  <c:v>5.7811466247121412E-2</c:v>
                </c:pt>
                <c:pt idx="47">
                  <c:v>5.9638299859981148E-2</c:v>
                </c:pt>
                <c:pt idx="48">
                  <c:v>0.25038703167081477</c:v>
                </c:pt>
                <c:pt idx="49">
                  <c:v>0.23027141582643429</c:v>
                </c:pt>
                <c:pt idx="50">
                  <c:v>0.10858682701311517</c:v>
                </c:pt>
                <c:pt idx="52">
                  <c:v>-2.186596176249167E-2</c:v>
                </c:pt>
                <c:pt idx="53">
                  <c:v>-9.168900296991056E-2</c:v>
                </c:pt>
                <c:pt idx="54">
                  <c:v>2.2609340323860305E-3</c:v>
                </c:pt>
                <c:pt idx="55">
                  <c:v>8.5794784807432078E-2</c:v>
                </c:pt>
                <c:pt idx="56">
                  <c:v>5.0705727354587449E-2</c:v>
                </c:pt>
                <c:pt idx="57">
                  <c:v>2.4783669267456787E-2</c:v>
                </c:pt>
                <c:pt idx="58">
                  <c:v>2.6050828554224026E-2</c:v>
                </c:pt>
                <c:pt idx="59">
                  <c:v>5.1510210516382937E-2</c:v>
                </c:pt>
                <c:pt idx="60">
                  <c:v>2.5823978802897773E-2</c:v>
                </c:pt>
                <c:pt idx="61">
                  <c:v>1.0845547921314314E-3</c:v>
                </c:pt>
                <c:pt idx="62">
                  <c:v>4.8138090183257765E-2</c:v>
                </c:pt>
                <c:pt idx="63">
                  <c:v>-2.0438323263986424E-2</c:v>
                </c:pt>
                <c:pt idx="65">
                  <c:v>0.12092111634661062</c:v>
                </c:pt>
                <c:pt idx="66">
                  <c:v>0.12051509568130125</c:v>
                </c:pt>
                <c:pt idx="67">
                  <c:v>8.3803784853466956E-2</c:v>
                </c:pt>
                <c:pt idx="68">
                  <c:v>-2.0890036609353513E-2</c:v>
                </c:pt>
                <c:pt idx="69">
                  <c:v>-1.4999999999999999E-2</c:v>
                </c:pt>
                <c:pt idx="70">
                  <c:v>5.1999999999999998E-2</c:v>
                </c:pt>
                <c:pt idx="71">
                  <c:v>7.2999999999999995E-2</c:v>
                </c:pt>
                <c:pt idx="72">
                  <c:v>1.2999999999999999E-2</c:v>
                </c:pt>
                <c:pt idx="73">
                  <c:v>2.5999999999999999E-2</c:v>
                </c:pt>
                <c:pt idx="74">
                  <c:v>2.8000000000000001E-2</c:v>
                </c:pt>
                <c:pt idx="75">
                  <c:v>3.5000000000000003E-2</c:v>
                </c:pt>
                <c:pt idx="76">
                  <c:v>7.3999999999999996E-2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16-4C7A-9AEC-EA5A2C3D3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511631"/>
        <c:axId val="30346591"/>
      </c:scatterChart>
      <c:valAx>
        <c:axId val="1695511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30346591"/>
        <c:crosses val="autoZero"/>
        <c:crossBetween val="midCat"/>
      </c:valAx>
      <c:valAx>
        <c:axId val="3034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695511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3"/>
          <c:order val="0"/>
          <c:tx>
            <c:strRef>
              <c:f>Flug!$V$6</c:f>
              <c:strCache>
                <c:ptCount val="1"/>
                <c:pt idx="0">
                  <c:v>Farþegar</c:v>
                </c:pt>
              </c:strCache>
            </c:strRef>
          </c:tx>
          <c:xVal>
            <c:numRef>
              <c:f>Flug!$U$7:$U$13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xVal>
          <c:yVal>
            <c:numRef>
              <c:f>Flug!$V$7:$V$13</c:f>
              <c:numCache>
                <c:formatCode>#,##0</c:formatCode>
                <c:ptCount val="7"/>
                <c:pt idx="0">
                  <c:v>417309</c:v>
                </c:pt>
                <c:pt idx="1">
                  <c:v>425515</c:v>
                </c:pt>
                <c:pt idx="2">
                  <c:v>394445</c:v>
                </c:pt>
                <c:pt idx="3">
                  <c:v>356428</c:v>
                </c:pt>
                <c:pt idx="4">
                  <c:v>164214</c:v>
                </c:pt>
                <c:pt idx="5">
                  <c:v>296812</c:v>
                </c:pt>
                <c:pt idx="6">
                  <c:v>348813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D26-4644-A550-DFB5C6964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554703"/>
        <c:axId val="2085043807"/>
      </c:scatterChart>
      <c:scatterChart>
        <c:scatterStyle val="lineMarker"/>
        <c:varyColors val="0"/>
        <c:ser>
          <c:idx val="1"/>
          <c:order val="1"/>
          <c:tx>
            <c:strRef>
              <c:f>Flug!$W$6</c:f>
              <c:strCache>
                <c:ptCount val="1"/>
                <c:pt idx="0">
                  <c:v>Hreyfingar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Flug!$U$7:$U$13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xVal>
          <c:yVal>
            <c:numRef>
              <c:f>Flug!$W$7:$W$13</c:f>
              <c:numCache>
                <c:formatCode>#,##0</c:formatCode>
                <c:ptCount val="7"/>
                <c:pt idx="0">
                  <c:v>63732</c:v>
                </c:pt>
                <c:pt idx="1">
                  <c:v>64656</c:v>
                </c:pt>
                <c:pt idx="2">
                  <c:v>61220</c:v>
                </c:pt>
                <c:pt idx="3">
                  <c:v>62658</c:v>
                </c:pt>
                <c:pt idx="4">
                  <c:v>40561</c:v>
                </c:pt>
                <c:pt idx="5">
                  <c:v>50616</c:v>
                </c:pt>
                <c:pt idx="6">
                  <c:v>42731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D26-4644-A550-DFB5C6964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4364207"/>
        <c:axId val="1214363791"/>
      </c:scatterChart>
      <c:valAx>
        <c:axId val="1210554703"/>
        <c:scaling>
          <c:orientation val="minMax"/>
          <c:max val="2022"/>
          <c:min val="201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043807"/>
        <c:crosses val="autoZero"/>
        <c:crossBetween val="midCat"/>
        <c:majorUnit val="1"/>
      </c:valAx>
      <c:valAx>
        <c:axId val="20850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Farþegafjöldi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0554703"/>
        <c:crosses val="autoZero"/>
        <c:crossBetween val="midCat"/>
        <c:dispUnits>
          <c:custUnit val="1000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</c:dispUnitsLbl>
        </c:dispUnits>
      </c:valAx>
      <c:valAx>
        <c:axId val="121436379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Hreyfingar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4364207"/>
        <c:crosses val="max"/>
        <c:crossBetween val="midCat"/>
        <c:dispUnits>
          <c:custUnit val="1000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</c:dispUnitsLbl>
        </c:dispUnits>
      </c:valAx>
      <c:valAx>
        <c:axId val="1214364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4363791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Flug!$V$6</c:f>
              <c:strCache>
                <c:ptCount val="1"/>
                <c:pt idx="0">
                  <c:v>Farþegar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Flug!$U$17:$U$22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Flug!$V$17:$V$22</c:f>
              <c:numCache>
                <c:formatCode>0.0%</c:formatCode>
                <c:ptCount val="6"/>
                <c:pt idx="0">
                  <c:v>1.9664085845260946E-2</c:v>
                </c:pt>
                <c:pt idx="1">
                  <c:v>-7.3017402441747065E-2</c:v>
                </c:pt>
                <c:pt idx="2">
                  <c:v>-9.638099101268871E-2</c:v>
                </c:pt>
                <c:pt idx="3">
                  <c:v>-0.53927862008596406</c:v>
                </c:pt>
                <c:pt idx="4">
                  <c:v>0.80747073940102554</c:v>
                </c:pt>
                <c:pt idx="5">
                  <c:v>0.17519844211150493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7D-43A7-9B40-E76F9296E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554703"/>
        <c:axId val="2085043807"/>
      </c:scatterChart>
      <c:scatterChart>
        <c:scatterStyle val="lineMarker"/>
        <c:varyColors val="0"/>
        <c:ser>
          <c:idx val="1"/>
          <c:order val="1"/>
          <c:tx>
            <c:strRef>
              <c:f>Flug!$W$6</c:f>
              <c:strCache>
                <c:ptCount val="1"/>
                <c:pt idx="0">
                  <c:v>Hreyfingar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Flug!$U$17:$U$20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xVal>
          <c:yVal>
            <c:numRef>
              <c:f>Flug!$W$17:$W$20</c:f>
              <c:numCache>
                <c:formatCode>0.0%</c:formatCode>
                <c:ptCount val="4"/>
                <c:pt idx="0">
                  <c:v>1.4498211259649783E-2</c:v>
                </c:pt>
                <c:pt idx="1">
                  <c:v>-5.314278643900025E-2</c:v>
                </c:pt>
                <c:pt idx="2">
                  <c:v>2.3489055864096699E-2</c:v>
                </c:pt>
                <c:pt idx="3">
                  <c:v>-0.35266047432091674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7D-43A7-9B40-E76F9296E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4364207"/>
        <c:axId val="1214363791"/>
      </c:scatterChart>
      <c:valAx>
        <c:axId val="1210554703"/>
        <c:scaling>
          <c:orientation val="minMax"/>
          <c:max val="2022"/>
          <c:min val="201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043807"/>
        <c:crosses val="autoZero"/>
        <c:crossBetween val="midCat"/>
        <c:majorUnit val="1"/>
      </c:valAx>
      <c:valAx>
        <c:axId val="20850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Farþegafjöldi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0554703"/>
        <c:crosses val="autoZero"/>
        <c:crossBetween val="midCat"/>
      </c:valAx>
      <c:valAx>
        <c:axId val="1214363791"/>
        <c:scaling>
          <c:orientation val="minMax"/>
          <c:max val="0.15000000000000002"/>
          <c:min val="-0.60000000000000009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Hreyfingar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4364207"/>
        <c:crosses val="max"/>
        <c:crossBetween val="midCat"/>
      </c:valAx>
      <c:valAx>
        <c:axId val="1214364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436379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Flug!$P$9</c:f>
              <c:strCache>
                <c:ptCount val="1"/>
                <c:pt idx="0">
                  <c:v>Farþegar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Flug!$B$63:$B$74</c:f>
              <c:strCache>
                <c:ptCount val="12"/>
                <c:pt idx="0">
                  <c:v>Janúar</c:v>
                </c:pt>
                <c:pt idx="1">
                  <c:v>Febrúar</c:v>
                </c:pt>
                <c:pt idx="2">
                  <c:v>Mars</c:v>
                </c:pt>
                <c:pt idx="3">
                  <c:v>Apríl</c:v>
                </c:pt>
                <c:pt idx="4">
                  <c:v>Maí</c:v>
                </c:pt>
                <c:pt idx="5">
                  <c:v>Júní</c:v>
                </c:pt>
                <c:pt idx="6">
                  <c:v>Júlí</c:v>
                </c:pt>
                <c:pt idx="7">
                  <c:v>Ágúst</c:v>
                </c:pt>
                <c:pt idx="8">
                  <c:v>September</c:v>
                </c:pt>
                <c:pt idx="9">
                  <c:v>Október</c:v>
                </c:pt>
                <c:pt idx="10">
                  <c:v>Nóvember</c:v>
                </c:pt>
                <c:pt idx="11">
                  <c:v>Desember</c:v>
                </c:pt>
              </c:strCache>
            </c:strRef>
          </c:xVal>
          <c:yVal>
            <c:numRef>
              <c:f>Flug!$P$89:$P$100</c:f>
              <c:numCache>
                <c:formatCode>0.0%</c:formatCode>
                <c:ptCount val="12"/>
                <c:pt idx="0">
                  <c:v>7.2158967292769605E-2</c:v>
                </c:pt>
                <c:pt idx="1">
                  <c:v>0.12324210387642855</c:v>
                </c:pt>
                <c:pt idx="2">
                  <c:v>0.20780829188700387</c:v>
                </c:pt>
                <c:pt idx="3">
                  <c:v>0.31592573415193431</c:v>
                </c:pt>
                <c:pt idx="4">
                  <c:v>0.31726542367742916</c:v>
                </c:pt>
                <c:pt idx="5">
                  <c:v>0.25722943581890162</c:v>
                </c:pt>
                <c:pt idx="6">
                  <c:v>0.20778749570331895</c:v>
                </c:pt>
                <c:pt idx="7">
                  <c:v>0.22131734383390012</c:v>
                </c:pt>
                <c:pt idx="8">
                  <c:v>0.21533657214288004</c:v>
                </c:pt>
                <c:pt idx="9">
                  <c:v>0.18613707165109034</c:v>
                </c:pt>
                <c:pt idx="10">
                  <c:v>0.18465790838122639</c:v>
                </c:pt>
                <c:pt idx="11">
                  <c:v>0.17519844211150493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9F-42B3-84BD-9A2E899813FE}"/>
            </c:ext>
          </c:extLst>
        </c:ser>
        <c:ser>
          <c:idx val="1"/>
          <c:order val="1"/>
          <c:tx>
            <c:strRef>
              <c:f>Flug!$Q$9</c:f>
              <c:strCache>
                <c:ptCount val="1"/>
                <c:pt idx="0">
                  <c:v>Hreyfingar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Flug!$B$63:$B$74</c:f>
              <c:strCache>
                <c:ptCount val="12"/>
                <c:pt idx="0">
                  <c:v>Janúar</c:v>
                </c:pt>
                <c:pt idx="1">
                  <c:v>Febrúar</c:v>
                </c:pt>
                <c:pt idx="2">
                  <c:v>Mars</c:v>
                </c:pt>
                <c:pt idx="3">
                  <c:v>Apríl</c:v>
                </c:pt>
                <c:pt idx="4">
                  <c:v>Maí</c:v>
                </c:pt>
                <c:pt idx="5">
                  <c:v>Júní</c:v>
                </c:pt>
                <c:pt idx="6">
                  <c:v>Júlí</c:v>
                </c:pt>
                <c:pt idx="7">
                  <c:v>Ágúst</c:v>
                </c:pt>
                <c:pt idx="8">
                  <c:v>September</c:v>
                </c:pt>
                <c:pt idx="9">
                  <c:v>Október</c:v>
                </c:pt>
                <c:pt idx="10">
                  <c:v>Nóvember</c:v>
                </c:pt>
                <c:pt idx="11">
                  <c:v>Desember</c:v>
                </c:pt>
              </c:strCache>
            </c:strRef>
          </c:xVal>
          <c:yVal>
            <c:numRef>
              <c:f>Flug!$Q$89:$Q$100</c:f>
              <c:numCache>
                <c:formatCode>0.0%</c:formatCode>
                <c:ptCount val="12"/>
                <c:pt idx="0">
                  <c:v>-0.24252355591970504</c:v>
                </c:pt>
                <c:pt idx="1">
                  <c:v>-0.15402476780185759</c:v>
                </c:pt>
                <c:pt idx="2">
                  <c:v>-0.28226495726495726</c:v>
                </c:pt>
                <c:pt idx="3">
                  <c:v>-0.26989864625416399</c:v>
                </c:pt>
                <c:pt idx="4">
                  <c:v>-0.37197827071072881</c:v>
                </c:pt>
                <c:pt idx="5">
                  <c:v>-0.35533145484205841</c:v>
                </c:pt>
                <c:pt idx="6">
                  <c:v>-0.31042925278219397</c:v>
                </c:pt>
                <c:pt idx="7">
                  <c:v>-0.23687329456189191</c:v>
                </c:pt>
                <c:pt idx="8">
                  <c:v>-0.18240701527116912</c:v>
                </c:pt>
                <c:pt idx="9">
                  <c:v>-0.16889930788122348</c:v>
                </c:pt>
                <c:pt idx="10">
                  <c:v>-0.16699394192604972</c:v>
                </c:pt>
                <c:pt idx="11">
                  <c:v>-0.15578078078078078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9F-42B3-84BD-9A2E89981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7463231"/>
        <c:axId val="1214367119"/>
      </c:scatterChart>
      <c:valAx>
        <c:axId val="13074632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4367119"/>
        <c:crosses val="autoZero"/>
        <c:crossBetween val="midCat"/>
      </c:valAx>
      <c:valAx>
        <c:axId val="1214367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3074632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Flug!$AP$9</c:f>
              <c:strCache>
                <c:ptCount val="1"/>
                <c:pt idx="0">
                  <c:v>Farþegar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Flug!$AO$22:$AO$94</c:f>
              <c:numCache>
                <c:formatCode>General</c:formatCode>
                <c:ptCount val="73"/>
                <c:pt idx="0">
                  <c:v>2016.9999999999991</c:v>
                </c:pt>
                <c:pt idx="1">
                  <c:v>2017.0833333333323</c:v>
                </c:pt>
                <c:pt idx="2">
                  <c:v>2017.1666666666656</c:v>
                </c:pt>
                <c:pt idx="3">
                  <c:v>2017.2499999999989</c:v>
                </c:pt>
                <c:pt idx="4">
                  <c:v>2017.3333333333321</c:v>
                </c:pt>
                <c:pt idx="5">
                  <c:v>2017.4166666666654</c:v>
                </c:pt>
                <c:pt idx="6">
                  <c:v>2017.4999999999986</c:v>
                </c:pt>
                <c:pt idx="7">
                  <c:v>2017.5833333333319</c:v>
                </c:pt>
                <c:pt idx="8">
                  <c:v>2017.6666666666652</c:v>
                </c:pt>
                <c:pt idx="9">
                  <c:v>2017.7499999999984</c:v>
                </c:pt>
                <c:pt idx="10">
                  <c:v>2017.8333333333317</c:v>
                </c:pt>
                <c:pt idx="11">
                  <c:v>2017.9166666666649</c:v>
                </c:pt>
                <c:pt idx="12">
                  <c:v>2017.9999999999982</c:v>
                </c:pt>
                <c:pt idx="13">
                  <c:v>2018.0833333333314</c:v>
                </c:pt>
                <c:pt idx="14">
                  <c:v>2018.1666666666647</c:v>
                </c:pt>
                <c:pt idx="15">
                  <c:v>2018.249999999998</c:v>
                </c:pt>
                <c:pt idx="16">
                  <c:v>2018.3333333333312</c:v>
                </c:pt>
                <c:pt idx="17">
                  <c:v>2018.4166666666645</c:v>
                </c:pt>
                <c:pt idx="18">
                  <c:v>2018.4999999999977</c:v>
                </c:pt>
                <c:pt idx="19">
                  <c:v>2018.583333333331</c:v>
                </c:pt>
                <c:pt idx="20">
                  <c:v>2018.6666666666642</c:v>
                </c:pt>
                <c:pt idx="21">
                  <c:v>2018.7499999999975</c:v>
                </c:pt>
                <c:pt idx="22">
                  <c:v>2018.8333333333308</c:v>
                </c:pt>
                <c:pt idx="23">
                  <c:v>2018.916666666664</c:v>
                </c:pt>
                <c:pt idx="24">
                  <c:v>2018.9999999999973</c:v>
                </c:pt>
                <c:pt idx="25">
                  <c:v>2019.0833333333305</c:v>
                </c:pt>
                <c:pt idx="26">
                  <c:v>2019.1666666666638</c:v>
                </c:pt>
                <c:pt idx="27">
                  <c:v>2019.249999999997</c:v>
                </c:pt>
                <c:pt idx="28">
                  <c:v>2019.3333333333303</c:v>
                </c:pt>
                <c:pt idx="29">
                  <c:v>2019.4166666666636</c:v>
                </c:pt>
                <c:pt idx="30">
                  <c:v>2019.4999999999968</c:v>
                </c:pt>
                <c:pt idx="31">
                  <c:v>2019.5833333333301</c:v>
                </c:pt>
                <c:pt idx="32">
                  <c:v>2019.6666666666633</c:v>
                </c:pt>
                <c:pt idx="33">
                  <c:v>2019.7499999999966</c:v>
                </c:pt>
                <c:pt idx="34">
                  <c:v>2019.8333333333298</c:v>
                </c:pt>
                <c:pt idx="35">
                  <c:v>2019.9166666666631</c:v>
                </c:pt>
                <c:pt idx="36">
                  <c:v>2019.9999999999964</c:v>
                </c:pt>
                <c:pt idx="37">
                  <c:v>2020.0833333333296</c:v>
                </c:pt>
                <c:pt idx="38">
                  <c:v>2020.1666666666629</c:v>
                </c:pt>
                <c:pt idx="39">
                  <c:v>2020.2499999999961</c:v>
                </c:pt>
                <c:pt idx="40">
                  <c:v>2020.3333333333294</c:v>
                </c:pt>
                <c:pt idx="41">
                  <c:v>2020.4166666666626</c:v>
                </c:pt>
                <c:pt idx="42">
                  <c:v>2020.4999999999959</c:v>
                </c:pt>
                <c:pt idx="43">
                  <c:v>2020.5833333333292</c:v>
                </c:pt>
                <c:pt idx="44">
                  <c:v>2020.6666666666624</c:v>
                </c:pt>
                <c:pt idx="45">
                  <c:v>2020.7499999999957</c:v>
                </c:pt>
                <c:pt idx="46">
                  <c:v>2020.8333333333289</c:v>
                </c:pt>
                <c:pt idx="47">
                  <c:v>2020.9166666666622</c:v>
                </c:pt>
                <c:pt idx="48">
                  <c:v>2020.9999999999955</c:v>
                </c:pt>
                <c:pt idx="49">
                  <c:v>2021.0833333333287</c:v>
                </c:pt>
                <c:pt idx="50">
                  <c:v>2021.166666666662</c:v>
                </c:pt>
                <c:pt idx="51">
                  <c:v>2021.2499999999952</c:v>
                </c:pt>
                <c:pt idx="52">
                  <c:v>2021.3333333333285</c:v>
                </c:pt>
                <c:pt idx="53">
                  <c:v>2021.4166666666617</c:v>
                </c:pt>
                <c:pt idx="54">
                  <c:v>2021.499999999995</c:v>
                </c:pt>
                <c:pt idx="55">
                  <c:v>2021.5833333333283</c:v>
                </c:pt>
                <c:pt idx="56">
                  <c:v>2021.6666666666615</c:v>
                </c:pt>
                <c:pt idx="57">
                  <c:v>2021.7499999999948</c:v>
                </c:pt>
                <c:pt idx="58">
                  <c:v>2021.833333333328</c:v>
                </c:pt>
                <c:pt idx="59">
                  <c:v>2021.9166666666613</c:v>
                </c:pt>
                <c:pt idx="60">
                  <c:v>2021.9999999999945</c:v>
                </c:pt>
                <c:pt idx="61">
                  <c:v>2022.0833333333278</c:v>
                </c:pt>
                <c:pt idx="62">
                  <c:v>2022.1666666666611</c:v>
                </c:pt>
                <c:pt idx="63">
                  <c:v>2022.2499999999943</c:v>
                </c:pt>
                <c:pt idx="64">
                  <c:v>2022.3333333333276</c:v>
                </c:pt>
                <c:pt idx="65">
                  <c:v>2022.4166666666608</c:v>
                </c:pt>
                <c:pt idx="66">
                  <c:v>2022.4999999999941</c:v>
                </c:pt>
                <c:pt idx="67">
                  <c:v>2022.5833333333273</c:v>
                </c:pt>
                <c:pt idx="68">
                  <c:v>2022.6666666666606</c:v>
                </c:pt>
                <c:pt idx="69">
                  <c:v>2022.7499999999939</c:v>
                </c:pt>
                <c:pt idx="70">
                  <c:v>2022.8333333333271</c:v>
                </c:pt>
                <c:pt idx="71">
                  <c:v>2022.9166666666604</c:v>
                </c:pt>
                <c:pt idx="72">
                  <c:v>2022.9999999999936</c:v>
                </c:pt>
              </c:numCache>
            </c:numRef>
          </c:xVal>
          <c:yVal>
            <c:numRef>
              <c:f>Flug!$AP$22:$AP$94</c:f>
              <c:numCache>
                <c:formatCode>0.0%</c:formatCode>
                <c:ptCount val="73"/>
                <c:pt idx="0">
                  <c:v>-5.2820589555588805E-2</c:v>
                </c:pt>
                <c:pt idx="1">
                  <c:v>-5.219985085756898E-2</c:v>
                </c:pt>
                <c:pt idx="2">
                  <c:v>0.1015451849539566</c:v>
                </c:pt>
                <c:pt idx="3">
                  <c:v>-4.3893485970260687E-2</c:v>
                </c:pt>
                <c:pt idx="4">
                  <c:v>9.0703823643007817E-2</c:v>
                </c:pt>
                <c:pt idx="5">
                  <c:v>6.3871033568003263E-2</c:v>
                </c:pt>
                <c:pt idx="6">
                  <c:v>-4.6558746736292428E-2</c:v>
                </c:pt>
                <c:pt idx="7">
                  <c:v>1.3588634959851761E-2</c:v>
                </c:pt>
                <c:pt idx="8">
                  <c:v>-2.7555813840863964E-2</c:v>
                </c:pt>
                <c:pt idx="9">
                  <c:v>8.1580662361514303E-2</c:v>
                </c:pt>
                <c:pt idx="10">
                  <c:v>5.0229877170109107E-2</c:v>
                </c:pt>
                <c:pt idx="11">
                  <c:v>9.0789105307363116E-2</c:v>
                </c:pt>
                <c:pt idx="12">
                  <c:v>6.0703001579778829E-2</c:v>
                </c:pt>
                <c:pt idx="13">
                  <c:v>-8.9979257563836637E-2</c:v>
                </c:pt>
                <c:pt idx="14">
                  <c:v>-0.21806279755157559</c:v>
                </c:pt>
                <c:pt idx="15">
                  <c:v>-1.8122661460875225E-2</c:v>
                </c:pt>
                <c:pt idx="16">
                  <c:v>-6.3793854870342129E-2</c:v>
                </c:pt>
                <c:pt idx="17">
                  <c:v>-7.8042581758895183E-2</c:v>
                </c:pt>
                <c:pt idx="18">
                  <c:v>-4.927047276869824E-2</c:v>
                </c:pt>
                <c:pt idx="19">
                  <c:v>-3.6899283447855598E-2</c:v>
                </c:pt>
                <c:pt idx="20">
                  <c:v>-8.2470119521912355E-2</c:v>
                </c:pt>
                <c:pt idx="21">
                  <c:v>-4.4944127957931637E-2</c:v>
                </c:pt>
                <c:pt idx="22">
                  <c:v>-0.12113688337144723</c:v>
                </c:pt>
                <c:pt idx="23">
                  <c:v>-0.13111868881311187</c:v>
                </c:pt>
                <c:pt idx="24">
                  <c:v>-0.12153256134341141</c:v>
                </c:pt>
                <c:pt idx="25">
                  <c:v>-3.0574550027509237E-2</c:v>
                </c:pt>
                <c:pt idx="26">
                  <c:v>0.20291378248106404</c:v>
                </c:pt>
                <c:pt idx="27">
                  <c:v>-0.13440254490025846</c:v>
                </c:pt>
                <c:pt idx="28">
                  <c:v>-9.7556008146639506E-2</c:v>
                </c:pt>
                <c:pt idx="29">
                  <c:v>-0.13777858684627989</c:v>
                </c:pt>
                <c:pt idx="30">
                  <c:v>-0.14761389036108485</c:v>
                </c:pt>
                <c:pt idx="31">
                  <c:v>-0.15543385770078327</c:v>
                </c:pt>
                <c:pt idx="32">
                  <c:v>-0.13365718627876683</c:v>
                </c:pt>
                <c:pt idx="33">
                  <c:v>-0.15456969975050902</c:v>
                </c:pt>
                <c:pt idx="34">
                  <c:v>-4.1335216712512078E-2</c:v>
                </c:pt>
                <c:pt idx="35">
                  <c:v>-8.0600919947672697E-2</c:v>
                </c:pt>
                <c:pt idx="36">
                  <c:v>-0.13431950154706904</c:v>
                </c:pt>
                <c:pt idx="37">
                  <c:v>-0.10738608723852765</c:v>
                </c:pt>
                <c:pt idx="38">
                  <c:v>-0.58902747650036158</c:v>
                </c:pt>
                <c:pt idx="39">
                  <c:v>-0.88588163234055584</c:v>
                </c:pt>
                <c:pt idx="40">
                  <c:v>-0.75645613695715253</c:v>
                </c:pt>
                <c:pt idx="41">
                  <c:v>-0.50502186698838791</c:v>
                </c:pt>
                <c:pt idx="42">
                  <c:v>-0.44959584763861482</c:v>
                </c:pt>
                <c:pt idx="43">
                  <c:v>-0.56351236146632566</c:v>
                </c:pt>
                <c:pt idx="44">
                  <c:v>-0.51708799298311559</c:v>
                </c:pt>
                <c:pt idx="45">
                  <c:v>-0.70960957905091415</c:v>
                </c:pt>
                <c:pt idx="46">
                  <c:v>-0.70383869716944547</c:v>
                </c:pt>
                <c:pt idx="47">
                  <c:v>-0.43484646807729382</c:v>
                </c:pt>
                <c:pt idx="48">
                  <c:v>-0.53927862008596406</c:v>
                </c:pt>
                <c:pt idx="49">
                  <c:v>-0.32486290638464549</c:v>
                </c:pt>
                <c:pt idx="50">
                  <c:v>-0.24728643444298107</c:v>
                </c:pt>
                <c:pt idx="51">
                  <c:v>0.50326222417711308</c:v>
                </c:pt>
                <c:pt idx="52">
                  <c:v>4.610868835961087</c:v>
                </c:pt>
                <c:pt idx="53">
                  <c:v>2.2781307916335716</c:v>
                </c:pt>
                <c:pt idx="54">
                  <c:v>0.85265980135275121</c:v>
                </c:pt>
                <c:pt idx="55">
                  <c:v>0.6864440078585462</c:v>
                </c:pt>
                <c:pt idx="56">
                  <c:v>0.94483901515151514</c:v>
                </c:pt>
                <c:pt idx="57">
                  <c:v>0.84451219512195119</c:v>
                </c:pt>
                <c:pt idx="58">
                  <c:v>2.7363625744655997</c:v>
                </c:pt>
                <c:pt idx="59">
                  <c:v>2.0759361089290391</c:v>
                </c:pt>
                <c:pt idx="60">
                  <c:v>0.86290912044180945</c:v>
                </c:pt>
                <c:pt idx="61">
                  <c:v>0.80747073940102554</c:v>
                </c:pt>
                <c:pt idx="62">
                  <c:v>7.2158967292769605E-2</c:v>
                </c:pt>
                <c:pt idx="63">
                  <c:v>0.16574152286714131</c:v>
                </c:pt>
                <c:pt idx="64">
                  <c:v>0.33302448063981271</c:v>
                </c:pt>
                <c:pt idx="65">
                  <c:v>0.64474470883654189</c:v>
                </c:pt>
                <c:pt idx="66">
                  <c:v>0.32092234381940798</c:v>
                </c:pt>
                <c:pt idx="67">
                  <c:v>7.485857124062624E-2</c:v>
                </c:pt>
                <c:pt idx="68">
                  <c:v>3.1017008387698042E-2</c:v>
                </c:pt>
                <c:pt idx="69">
                  <c:v>0.28600121728545341</c:v>
                </c:pt>
                <c:pt idx="70">
                  <c:v>0.17538245120450149</c:v>
                </c:pt>
                <c:pt idx="71">
                  <c:v>-1.3224122299684248E-2</c:v>
                </c:pt>
                <c:pt idx="72">
                  <c:v>0.16889418574955309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94-4AB5-A0F7-5E8FF2B0E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7654463"/>
        <c:axId val="1308770159"/>
      </c:scatterChart>
      <c:scatterChart>
        <c:scatterStyle val="lineMarker"/>
        <c:varyColors val="0"/>
        <c:ser>
          <c:idx val="1"/>
          <c:order val="1"/>
          <c:tx>
            <c:strRef>
              <c:f>Flug!$AQ$9</c:f>
              <c:strCache>
                <c:ptCount val="1"/>
                <c:pt idx="0">
                  <c:v>Hreyfingar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Flug!$AO$22:$AO$94</c:f>
              <c:numCache>
                <c:formatCode>General</c:formatCode>
                <c:ptCount val="73"/>
                <c:pt idx="0">
                  <c:v>2016.9999999999991</c:v>
                </c:pt>
                <c:pt idx="1">
                  <c:v>2017.0833333333323</c:v>
                </c:pt>
                <c:pt idx="2">
                  <c:v>2017.1666666666656</c:v>
                </c:pt>
                <c:pt idx="3">
                  <c:v>2017.2499999999989</c:v>
                </c:pt>
                <c:pt idx="4">
                  <c:v>2017.3333333333321</c:v>
                </c:pt>
                <c:pt idx="5">
                  <c:v>2017.4166666666654</c:v>
                </c:pt>
                <c:pt idx="6">
                  <c:v>2017.4999999999986</c:v>
                </c:pt>
                <c:pt idx="7">
                  <c:v>2017.5833333333319</c:v>
                </c:pt>
                <c:pt idx="8">
                  <c:v>2017.6666666666652</c:v>
                </c:pt>
                <c:pt idx="9">
                  <c:v>2017.7499999999984</c:v>
                </c:pt>
                <c:pt idx="10">
                  <c:v>2017.8333333333317</c:v>
                </c:pt>
                <c:pt idx="11">
                  <c:v>2017.9166666666649</c:v>
                </c:pt>
                <c:pt idx="12">
                  <c:v>2017.9999999999982</c:v>
                </c:pt>
                <c:pt idx="13">
                  <c:v>2018.0833333333314</c:v>
                </c:pt>
                <c:pt idx="14">
                  <c:v>2018.1666666666647</c:v>
                </c:pt>
                <c:pt idx="15">
                  <c:v>2018.249999999998</c:v>
                </c:pt>
                <c:pt idx="16">
                  <c:v>2018.3333333333312</c:v>
                </c:pt>
                <c:pt idx="17">
                  <c:v>2018.4166666666645</c:v>
                </c:pt>
                <c:pt idx="18">
                  <c:v>2018.4999999999977</c:v>
                </c:pt>
                <c:pt idx="19">
                  <c:v>2018.583333333331</c:v>
                </c:pt>
                <c:pt idx="20">
                  <c:v>2018.6666666666642</c:v>
                </c:pt>
                <c:pt idx="21">
                  <c:v>2018.7499999999975</c:v>
                </c:pt>
                <c:pt idx="22">
                  <c:v>2018.8333333333308</c:v>
                </c:pt>
                <c:pt idx="23">
                  <c:v>2018.916666666664</c:v>
                </c:pt>
                <c:pt idx="24">
                  <c:v>2018.9999999999973</c:v>
                </c:pt>
                <c:pt idx="25">
                  <c:v>2019.0833333333305</c:v>
                </c:pt>
                <c:pt idx="26">
                  <c:v>2019.1666666666638</c:v>
                </c:pt>
                <c:pt idx="27">
                  <c:v>2019.249999999997</c:v>
                </c:pt>
                <c:pt idx="28">
                  <c:v>2019.3333333333303</c:v>
                </c:pt>
                <c:pt idx="29">
                  <c:v>2019.4166666666636</c:v>
                </c:pt>
                <c:pt idx="30">
                  <c:v>2019.4999999999968</c:v>
                </c:pt>
                <c:pt idx="31">
                  <c:v>2019.5833333333301</c:v>
                </c:pt>
                <c:pt idx="32">
                  <c:v>2019.6666666666633</c:v>
                </c:pt>
                <c:pt idx="33">
                  <c:v>2019.7499999999966</c:v>
                </c:pt>
                <c:pt idx="34">
                  <c:v>2019.8333333333298</c:v>
                </c:pt>
                <c:pt idx="35">
                  <c:v>2019.9166666666631</c:v>
                </c:pt>
                <c:pt idx="36">
                  <c:v>2019.9999999999964</c:v>
                </c:pt>
                <c:pt idx="37">
                  <c:v>2020.0833333333296</c:v>
                </c:pt>
                <c:pt idx="38">
                  <c:v>2020.1666666666629</c:v>
                </c:pt>
                <c:pt idx="39">
                  <c:v>2020.2499999999961</c:v>
                </c:pt>
                <c:pt idx="40">
                  <c:v>2020.3333333333294</c:v>
                </c:pt>
                <c:pt idx="41">
                  <c:v>2020.4166666666626</c:v>
                </c:pt>
                <c:pt idx="42">
                  <c:v>2020.4999999999959</c:v>
                </c:pt>
                <c:pt idx="43">
                  <c:v>2020.5833333333292</c:v>
                </c:pt>
                <c:pt idx="44">
                  <c:v>2020.6666666666624</c:v>
                </c:pt>
                <c:pt idx="45">
                  <c:v>2020.7499999999957</c:v>
                </c:pt>
                <c:pt idx="46">
                  <c:v>2020.8333333333289</c:v>
                </c:pt>
                <c:pt idx="47">
                  <c:v>2020.9166666666622</c:v>
                </c:pt>
                <c:pt idx="48">
                  <c:v>2020.9999999999955</c:v>
                </c:pt>
                <c:pt idx="49">
                  <c:v>2021.0833333333287</c:v>
                </c:pt>
                <c:pt idx="50">
                  <c:v>2021.166666666662</c:v>
                </c:pt>
                <c:pt idx="51">
                  <c:v>2021.2499999999952</c:v>
                </c:pt>
                <c:pt idx="52">
                  <c:v>2021.3333333333285</c:v>
                </c:pt>
                <c:pt idx="53">
                  <c:v>2021.4166666666617</c:v>
                </c:pt>
                <c:pt idx="54">
                  <c:v>2021.499999999995</c:v>
                </c:pt>
                <c:pt idx="55">
                  <c:v>2021.5833333333283</c:v>
                </c:pt>
                <c:pt idx="56">
                  <c:v>2021.6666666666615</c:v>
                </c:pt>
                <c:pt idx="57">
                  <c:v>2021.7499999999948</c:v>
                </c:pt>
                <c:pt idx="58">
                  <c:v>2021.833333333328</c:v>
                </c:pt>
                <c:pt idx="59">
                  <c:v>2021.9166666666613</c:v>
                </c:pt>
                <c:pt idx="60">
                  <c:v>2021.9999999999945</c:v>
                </c:pt>
                <c:pt idx="61">
                  <c:v>2022.0833333333278</c:v>
                </c:pt>
                <c:pt idx="62">
                  <c:v>2022.1666666666611</c:v>
                </c:pt>
                <c:pt idx="63">
                  <c:v>2022.2499999999943</c:v>
                </c:pt>
                <c:pt idx="64">
                  <c:v>2022.3333333333276</c:v>
                </c:pt>
                <c:pt idx="65">
                  <c:v>2022.4166666666608</c:v>
                </c:pt>
                <c:pt idx="66">
                  <c:v>2022.4999999999941</c:v>
                </c:pt>
                <c:pt idx="67">
                  <c:v>2022.5833333333273</c:v>
                </c:pt>
                <c:pt idx="68">
                  <c:v>2022.6666666666606</c:v>
                </c:pt>
                <c:pt idx="69">
                  <c:v>2022.7499999999939</c:v>
                </c:pt>
                <c:pt idx="70">
                  <c:v>2022.8333333333271</c:v>
                </c:pt>
                <c:pt idx="71">
                  <c:v>2022.9166666666604</c:v>
                </c:pt>
                <c:pt idx="72">
                  <c:v>2022.9999999999936</c:v>
                </c:pt>
              </c:numCache>
            </c:numRef>
          </c:xVal>
          <c:yVal>
            <c:numRef>
              <c:f>Flug!$AQ$22:$AQ$94</c:f>
              <c:numCache>
                <c:formatCode>0.0%</c:formatCode>
                <c:ptCount val="73"/>
                <c:pt idx="0">
                  <c:v>-0.45719082260772242</c:v>
                </c:pt>
                <c:pt idx="1">
                  <c:v>-0.39149383829275625</c:v>
                </c:pt>
                <c:pt idx="2">
                  <c:v>1.0741744701823559</c:v>
                </c:pt>
                <c:pt idx="3">
                  <c:v>-0.41833577593225857</c:v>
                </c:pt>
                <c:pt idx="4">
                  <c:v>-0.10846245530393325</c:v>
                </c:pt>
                <c:pt idx="5">
                  <c:v>0.3007531106745252</c:v>
                </c:pt>
                <c:pt idx="6">
                  <c:v>-1.1626217119604709E-2</c:v>
                </c:pt>
                <c:pt idx="7">
                  <c:v>-0.26066802999318339</c:v>
                </c:pt>
                <c:pt idx="8">
                  <c:v>-7.7912665337923539E-3</c:v>
                </c:pt>
                <c:pt idx="9">
                  <c:v>0.55373172608361121</c:v>
                </c:pt>
                <c:pt idx="10">
                  <c:v>0.11669128508124077</c:v>
                </c:pt>
                <c:pt idx="11">
                  <c:v>1.2992938620315047</c:v>
                </c:pt>
                <c:pt idx="12">
                  <c:v>0.53608247422680411</c:v>
                </c:pt>
                <c:pt idx="13">
                  <c:v>-0.45714991355890344</c:v>
                </c:pt>
                <c:pt idx="14">
                  <c:v>-0.46619935844124988</c:v>
                </c:pt>
                <c:pt idx="15">
                  <c:v>0.55207166853303469</c:v>
                </c:pt>
                <c:pt idx="16">
                  <c:v>-2.1199388846447668E-2</c:v>
                </c:pt>
                <c:pt idx="17">
                  <c:v>-0.2303335431088735</c:v>
                </c:pt>
                <c:pt idx="18">
                  <c:v>2.6466696074106751E-3</c:v>
                </c:pt>
                <c:pt idx="19">
                  <c:v>0.25705329153605017</c:v>
                </c:pt>
                <c:pt idx="20">
                  <c:v>6.2089116143170198E-2</c:v>
                </c:pt>
                <c:pt idx="21">
                  <c:v>-0.1236381644106966</c:v>
                </c:pt>
                <c:pt idx="22">
                  <c:v>0.1917989417989418</c:v>
                </c:pt>
                <c:pt idx="23">
                  <c:v>-0.26576895818568391</c:v>
                </c:pt>
                <c:pt idx="24">
                  <c:v>-2.2371364653243847E-3</c:v>
                </c:pt>
                <c:pt idx="25">
                  <c:v>0.8298453139217471</c:v>
                </c:pt>
                <c:pt idx="26">
                  <c:v>0.66102826619185395</c:v>
                </c:pt>
                <c:pt idx="27">
                  <c:v>-0.22402597402597402</c:v>
                </c:pt>
                <c:pt idx="28">
                  <c:v>0.3135609756097561</c:v>
                </c:pt>
                <c:pt idx="29">
                  <c:v>1.6680294358135731E-2</c:v>
                </c:pt>
                <c:pt idx="30">
                  <c:v>-8.5789705235371758E-2</c:v>
                </c:pt>
                <c:pt idx="31">
                  <c:v>-8.4347953645298512E-2</c:v>
                </c:pt>
                <c:pt idx="32">
                  <c:v>-0.22025447042640992</c:v>
                </c:pt>
                <c:pt idx="33">
                  <c:v>-0.15031079299303071</c:v>
                </c:pt>
                <c:pt idx="34">
                  <c:v>-2.8671846096929337E-2</c:v>
                </c:pt>
                <c:pt idx="35">
                  <c:v>-0.13481338481338481</c:v>
                </c:pt>
                <c:pt idx="36">
                  <c:v>-0.41278026905829596</c:v>
                </c:pt>
                <c:pt idx="37">
                  <c:v>-0.15116857284932869</c:v>
                </c:pt>
                <c:pt idx="38">
                  <c:v>-0.49175934610746347</c:v>
                </c:pt>
                <c:pt idx="39">
                  <c:v>-0.63319386331938632</c:v>
                </c:pt>
                <c:pt idx="40">
                  <c:v>-0.42498514557338085</c:v>
                </c:pt>
                <c:pt idx="41">
                  <c:v>-0.34775615248512143</c:v>
                </c:pt>
                <c:pt idx="42">
                  <c:v>-8.2451074751363485E-2</c:v>
                </c:pt>
                <c:pt idx="43">
                  <c:v>-0.26497917334187759</c:v>
                </c:pt>
                <c:pt idx="44">
                  <c:v>-0.22183020948180815</c:v>
                </c:pt>
                <c:pt idx="45">
                  <c:v>-0.39414763910441142</c:v>
                </c:pt>
                <c:pt idx="46">
                  <c:v>-0.56636831079794325</c:v>
                </c:pt>
                <c:pt idx="47">
                  <c:v>-0.11342506507995537</c:v>
                </c:pt>
                <c:pt idx="48">
                  <c:v>-0.35266047432091674</c:v>
                </c:pt>
                <c:pt idx="49">
                  <c:v>-6.7964872088583428E-2</c:v>
                </c:pt>
                <c:pt idx="50">
                  <c:v>-0.20123022847100175</c:v>
                </c:pt>
                <c:pt idx="51">
                  <c:v>0.10519377801212761</c:v>
                </c:pt>
                <c:pt idx="52">
                  <c:v>2.0095057034220534</c:v>
                </c:pt>
                <c:pt idx="53">
                  <c:v>1.0617411521570654</c:v>
                </c:pt>
                <c:pt idx="54">
                  <c:v>0.20394574599260173</c:v>
                </c:pt>
                <c:pt idx="55">
                  <c:v>-0.21713286713286714</c:v>
                </c:pt>
                <c:pt idx="56">
                  <c:v>5.2964254577157803E-2</c:v>
                </c:pt>
                <c:pt idx="57">
                  <c:v>9.3794275998866528E-2</c:v>
                </c:pt>
                <c:pt idx="58">
                  <c:v>0.70106110501280638</c:v>
                </c:pt>
                <c:pt idx="59">
                  <c:v>0.35265700483091789</c:v>
                </c:pt>
                <c:pt idx="60">
                  <c:v>0.24789822736125836</c:v>
                </c:pt>
                <c:pt idx="61">
                  <c:v>-0.24252355591970504</c:v>
                </c:pt>
                <c:pt idx="62">
                  <c:v>-7.4807480748074806E-2</c:v>
                </c:pt>
                <c:pt idx="63">
                  <c:v>-0.44036259541984735</c:v>
                </c:pt>
                <c:pt idx="64">
                  <c:v>-0.24552537376289746</c:v>
                </c:pt>
                <c:pt idx="65">
                  <c:v>-0.5524370379651673</c:v>
                </c:pt>
                <c:pt idx="66">
                  <c:v>-0.28000819336337568</c:v>
                </c:pt>
                <c:pt idx="67">
                  <c:v>-3.9973202322465387E-2</c:v>
                </c:pt>
                <c:pt idx="68">
                  <c:v>0.24197888635893189</c:v>
                </c:pt>
                <c:pt idx="69">
                  <c:v>0.32953367875647671</c:v>
                </c:pt>
                <c:pt idx="70">
                  <c:v>-5.2269305226930525E-2</c:v>
                </c:pt>
                <c:pt idx="71">
                  <c:v>-0.13928571428571429</c:v>
                </c:pt>
                <c:pt idx="72">
                  <c:v>3.9694100509832485E-2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894-4AB5-A0F7-5E8FF2B0E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525167"/>
        <c:axId val="1064521007"/>
      </c:scatterChart>
      <c:valAx>
        <c:axId val="12076544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308770159"/>
        <c:crosses val="autoZero"/>
        <c:crossBetween val="midCat"/>
      </c:valAx>
      <c:valAx>
        <c:axId val="130877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07654463"/>
        <c:crosses val="autoZero"/>
        <c:crossBetween val="midCat"/>
      </c:valAx>
      <c:valAx>
        <c:axId val="106452100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64525167"/>
        <c:crosses val="max"/>
        <c:crossBetween val="midCat"/>
      </c:valAx>
      <c:valAx>
        <c:axId val="10645251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45210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Losun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Reykjavík!$P$113:$W$113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Reykjavík!$P$114:$W$114</c:f>
              <c:numCache>
                <c:formatCode>#,##0</c:formatCode>
                <c:ptCount val="8"/>
                <c:pt idx="0">
                  <c:v>43314.919582693481</c:v>
                </c:pt>
                <c:pt idx="1">
                  <c:v>30093.427001478725</c:v>
                </c:pt>
                <c:pt idx="2">
                  <c:v>42944.986514942037</c:v>
                </c:pt>
                <c:pt idx="3">
                  <c:v>41684.620080955239</c:v>
                </c:pt>
                <c:pt idx="4">
                  <c:v>40517.695064720487</c:v>
                </c:pt>
                <c:pt idx="5">
                  <c:v>44756.335123705379</c:v>
                </c:pt>
                <c:pt idx="6">
                  <c:v>37825.011937000338</c:v>
                </c:pt>
                <c:pt idx="7">
                  <c:v>40884.329083100427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A5-4A5C-9261-8EFD92EA7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41811855"/>
        <c:axId val="1132602367"/>
      </c:barChart>
      <c:lineChart>
        <c:grouping val="standard"/>
        <c:varyColors val="0"/>
        <c:ser>
          <c:idx val="1"/>
          <c:order val="1"/>
          <c:tx>
            <c:v>Losun á íbúa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Reykjavík!$P$113:$V$113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Reykjavík!$P$115:$W$115</c:f>
              <c:numCache>
                <c:formatCode>#,##0.00</c:formatCode>
                <c:ptCount val="8"/>
                <c:pt idx="0">
                  <c:v>0.36317910873755704</c:v>
                </c:pt>
                <c:pt idx="1">
                  <c:v>0.24971104363412017</c:v>
                </c:pt>
                <c:pt idx="2">
                  <c:v>0.34874644931373011</c:v>
                </c:pt>
                <c:pt idx="3">
                  <c:v>0.33251930504910049</c:v>
                </c:pt>
                <c:pt idx="4">
                  <c:v>0.32017396474662374</c:v>
                </c:pt>
                <c:pt idx="5">
                  <c:v>0.34800042861134733</c:v>
                </c:pt>
                <c:pt idx="6">
                  <c:v>0.28954065384497879</c:v>
                </c:pt>
                <c:pt idx="7">
                  <c:v>0.30442991766891858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A5-4A5C-9261-8EFD92EA7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8432623"/>
        <c:axId val="3597487"/>
      </c:lineChart>
      <c:catAx>
        <c:axId val="134181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132602367"/>
        <c:crosses val="autoZero"/>
        <c:auto val="1"/>
        <c:lblAlgn val="ctr"/>
        <c:lblOffset val="100"/>
        <c:noMultiLvlLbl val="0"/>
      </c:catAx>
      <c:valAx>
        <c:axId val="113260236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baseline="0">
                    <a:effectLst/>
                  </a:rPr>
                  <a:t>Losun (t CO</a:t>
                </a:r>
                <a:r>
                  <a:rPr lang="en-US" sz="900" b="0" i="0" baseline="-25000">
                    <a:effectLst/>
                  </a:rPr>
                  <a:t>2</a:t>
                </a:r>
                <a:r>
                  <a:rPr lang="en-US" sz="900" b="0" i="0" baseline="0">
                    <a:effectLst/>
                  </a:rPr>
                  <a:t> ígildi)</a:t>
                </a:r>
                <a:endParaRPr lang="is-IS" sz="3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341811855"/>
        <c:crosses val="autoZero"/>
        <c:crossBetween val="between"/>
      </c:valAx>
      <c:valAx>
        <c:axId val="3597487"/>
        <c:scaling>
          <c:orientation val="minMax"/>
          <c:min val="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138432623"/>
        <c:crosses val="max"/>
        <c:crossBetween val="between"/>
      </c:valAx>
      <c:catAx>
        <c:axId val="11384326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974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58136482939633"/>
          <c:y val="5.0925925925925923E-2"/>
          <c:w val="0.76152974628171477"/>
          <c:h val="0.81539297171186931"/>
        </c:manualLayout>
      </c:layout>
      <c:scatterChart>
        <c:scatterStyle val="lineMarker"/>
        <c:varyColors val="0"/>
        <c:ser>
          <c:idx val="0"/>
          <c:order val="0"/>
          <c:tx>
            <c:strRef>
              <c:f>Flug!$AI$9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Flug!$AO$22:$AO$94</c:f>
              <c:numCache>
                <c:formatCode>General</c:formatCode>
                <c:ptCount val="73"/>
                <c:pt idx="0">
                  <c:v>2016.9999999999991</c:v>
                </c:pt>
                <c:pt idx="1">
                  <c:v>2017.0833333333323</c:v>
                </c:pt>
                <c:pt idx="2">
                  <c:v>2017.1666666666656</c:v>
                </c:pt>
                <c:pt idx="3">
                  <c:v>2017.2499999999989</c:v>
                </c:pt>
                <c:pt idx="4">
                  <c:v>2017.3333333333321</c:v>
                </c:pt>
                <c:pt idx="5">
                  <c:v>2017.4166666666654</c:v>
                </c:pt>
                <c:pt idx="6">
                  <c:v>2017.4999999999986</c:v>
                </c:pt>
                <c:pt idx="7">
                  <c:v>2017.5833333333319</c:v>
                </c:pt>
                <c:pt idx="8">
                  <c:v>2017.6666666666652</c:v>
                </c:pt>
                <c:pt idx="9">
                  <c:v>2017.7499999999984</c:v>
                </c:pt>
                <c:pt idx="10">
                  <c:v>2017.8333333333317</c:v>
                </c:pt>
                <c:pt idx="11">
                  <c:v>2017.9166666666649</c:v>
                </c:pt>
                <c:pt idx="12">
                  <c:v>2017.9999999999982</c:v>
                </c:pt>
                <c:pt idx="13">
                  <c:v>2018.0833333333314</c:v>
                </c:pt>
                <c:pt idx="14">
                  <c:v>2018.1666666666647</c:v>
                </c:pt>
                <c:pt idx="15">
                  <c:v>2018.249999999998</c:v>
                </c:pt>
                <c:pt idx="16">
                  <c:v>2018.3333333333312</c:v>
                </c:pt>
                <c:pt idx="17">
                  <c:v>2018.4166666666645</c:v>
                </c:pt>
                <c:pt idx="18">
                  <c:v>2018.4999999999977</c:v>
                </c:pt>
                <c:pt idx="19">
                  <c:v>2018.583333333331</c:v>
                </c:pt>
                <c:pt idx="20">
                  <c:v>2018.6666666666642</c:v>
                </c:pt>
                <c:pt idx="21">
                  <c:v>2018.7499999999975</c:v>
                </c:pt>
                <c:pt idx="22">
                  <c:v>2018.8333333333308</c:v>
                </c:pt>
                <c:pt idx="23">
                  <c:v>2018.916666666664</c:v>
                </c:pt>
                <c:pt idx="24">
                  <c:v>2018.9999999999973</c:v>
                </c:pt>
                <c:pt idx="25">
                  <c:v>2019.0833333333305</c:v>
                </c:pt>
                <c:pt idx="26">
                  <c:v>2019.1666666666638</c:v>
                </c:pt>
                <c:pt idx="27">
                  <c:v>2019.249999999997</c:v>
                </c:pt>
                <c:pt idx="28">
                  <c:v>2019.3333333333303</c:v>
                </c:pt>
                <c:pt idx="29">
                  <c:v>2019.4166666666636</c:v>
                </c:pt>
                <c:pt idx="30">
                  <c:v>2019.4999999999968</c:v>
                </c:pt>
                <c:pt idx="31">
                  <c:v>2019.5833333333301</c:v>
                </c:pt>
                <c:pt idx="32">
                  <c:v>2019.6666666666633</c:v>
                </c:pt>
                <c:pt idx="33">
                  <c:v>2019.7499999999966</c:v>
                </c:pt>
                <c:pt idx="34">
                  <c:v>2019.8333333333298</c:v>
                </c:pt>
                <c:pt idx="35">
                  <c:v>2019.9166666666631</c:v>
                </c:pt>
                <c:pt idx="36">
                  <c:v>2019.9999999999964</c:v>
                </c:pt>
                <c:pt idx="37">
                  <c:v>2020.0833333333296</c:v>
                </c:pt>
                <c:pt idx="38">
                  <c:v>2020.1666666666629</c:v>
                </c:pt>
                <c:pt idx="39">
                  <c:v>2020.2499999999961</c:v>
                </c:pt>
                <c:pt idx="40">
                  <c:v>2020.3333333333294</c:v>
                </c:pt>
                <c:pt idx="41">
                  <c:v>2020.4166666666626</c:v>
                </c:pt>
                <c:pt idx="42">
                  <c:v>2020.4999999999959</c:v>
                </c:pt>
                <c:pt idx="43">
                  <c:v>2020.5833333333292</c:v>
                </c:pt>
                <c:pt idx="44">
                  <c:v>2020.6666666666624</c:v>
                </c:pt>
                <c:pt idx="45">
                  <c:v>2020.7499999999957</c:v>
                </c:pt>
                <c:pt idx="46">
                  <c:v>2020.8333333333289</c:v>
                </c:pt>
                <c:pt idx="47">
                  <c:v>2020.9166666666622</c:v>
                </c:pt>
                <c:pt idx="48">
                  <c:v>2020.9999999999955</c:v>
                </c:pt>
                <c:pt idx="49">
                  <c:v>2021.0833333333287</c:v>
                </c:pt>
                <c:pt idx="50">
                  <c:v>2021.166666666662</c:v>
                </c:pt>
                <c:pt idx="51">
                  <c:v>2021.2499999999952</c:v>
                </c:pt>
                <c:pt idx="52">
                  <c:v>2021.3333333333285</c:v>
                </c:pt>
                <c:pt idx="53">
                  <c:v>2021.4166666666617</c:v>
                </c:pt>
                <c:pt idx="54">
                  <c:v>2021.499999999995</c:v>
                </c:pt>
                <c:pt idx="55">
                  <c:v>2021.5833333333283</c:v>
                </c:pt>
                <c:pt idx="56">
                  <c:v>2021.6666666666615</c:v>
                </c:pt>
                <c:pt idx="57">
                  <c:v>2021.7499999999948</c:v>
                </c:pt>
                <c:pt idx="58">
                  <c:v>2021.833333333328</c:v>
                </c:pt>
                <c:pt idx="59">
                  <c:v>2021.9166666666613</c:v>
                </c:pt>
                <c:pt idx="60">
                  <c:v>2021.9999999999945</c:v>
                </c:pt>
                <c:pt idx="61">
                  <c:v>2022.0833333333278</c:v>
                </c:pt>
                <c:pt idx="62">
                  <c:v>2022.1666666666611</c:v>
                </c:pt>
                <c:pt idx="63">
                  <c:v>2022.2499999999943</c:v>
                </c:pt>
                <c:pt idx="64">
                  <c:v>2022.3333333333276</c:v>
                </c:pt>
                <c:pt idx="65">
                  <c:v>2022.4166666666608</c:v>
                </c:pt>
                <c:pt idx="66">
                  <c:v>2022.4999999999941</c:v>
                </c:pt>
                <c:pt idx="67">
                  <c:v>2022.5833333333273</c:v>
                </c:pt>
                <c:pt idx="68">
                  <c:v>2022.6666666666606</c:v>
                </c:pt>
                <c:pt idx="69">
                  <c:v>2022.7499999999939</c:v>
                </c:pt>
                <c:pt idx="70">
                  <c:v>2022.8333333333271</c:v>
                </c:pt>
                <c:pt idx="71">
                  <c:v>2022.9166666666604</c:v>
                </c:pt>
                <c:pt idx="72">
                  <c:v>2022.9999999999936</c:v>
                </c:pt>
              </c:numCache>
            </c:numRef>
          </c:xVal>
          <c:yVal>
            <c:numRef>
              <c:f>Flug!$AP$22:$AP$94</c:f>
              <c:numCache>
                <c:formatCode>0.0%</c:formatCode>
                <c:ptCount val="73"/>
                <c:pt idx="0">
                  <c:v>-5.2820589555588805E-2</c:v>
                </c:pt>
                <c:pt idx="1">
                  <c:v>-5.219985085756898E-2</c:v>
                </c:pt>
                <c:pt idx="2">
                  <c:v>0.1015451849539566</c:v>
                </c:pt>
                <c:pt idx="3">
                  <c:v>-4.3893485970260687E-2</c:v>
                </c:pt>
                <c:pt idx="4">
                  <c:v>9.0703823643007817E-2</c:v>
                </c:pt>
                <c:pt idx="5">
                  <c:v>6.3871033568003263E-2</c:v>
                </c:pt>
                <c:pt idx="6">
                  <c:v>-4.6558746736292428E-2</c:v>
                </c:pt>
                <c:pt idx="7">
                  <c:v>1.3588634959851761E-2</c:v>
                </c:pt>
                <c:pt idx="8">
                  <c:v>-2.7555813840863964E-2</c:v>
                </c:pt>
                <c:pt idx="9">
                  <c:v>8.1580662361514303E-2</c:v>
                </c:pt>
                <c:pt idx="10">
                  <c:v>5.0229877170109107E-2</c:v>
                </c:pt>
                <c:pt idx="11">
                  <c:v>9.0789105307363116E-2</c:v>
                </c:pt>
                <c:pt idx="12">
                  <c:v>6.0703001579778829E-2</c:v>
                </c:pt>
                <c:pt idx="13">
                  <c:v>-8.9979257563836637E-2</c:v>
                </c:pt>
                <c:pt idx="14">
                  <c:v>-0.21806279755157559</c:v>
                </c:pt>
                <c:pt idx="15">
                  <c:v>-1.8122661460875225E-2</c:v>
                </c:pt>
                <c:pt idx="16">
                  <c:v>-6.3793854870342129E-2</c:v>
                </c:pt>
                <c:pt idx="17">
                  <c:v>-7.8042581758895183E-2</c:v>
                </c:pt>
                <c:pt idx="18">
                  <c:v>-4.927047276869824E-2</c:v>
                </c:pt>
                <c:pt idx="19">
                  <c:v>-3.6899283447855598E-2</c:v>
                </c:pt>
                <c:pt idx="20">
                  <c:v>-8.2470119521912355E-2</c:v>
                </c:pt>
                <c:pt idx="21">
                  <c:v>-4.4944127957931637E-2</c:v>
                </c:pt>
                <c:pt idx="22">
                  <c:v>-0.12113688337144723</c:v>
                </c:pt>
                <c:pt idx="23">
                  <c:v>-0.13111868881311187</c:v>
                </c:pt>
                <c:pt idx="24">
                  <c:v>-0.12153256134341141</c:v>
                </c:pt>
                <c:pt idx="25">
                  <c:v>-3.0574550027509237E-2</c:v>
                </c:pt>
                <c:pt idx="26">
                  <c:v>0.20291378248106404</c:v>
                </c:pt>
                <c:pt idx="27">
                  <c:v>-0.13440254490025846</c:v>
                </c:pt>
                <c:pt idx="28">
                  <c:v>-9.7556008146639506E-2</c:v>
                </c:pt>
                <c:pt idx="29">
                  <c:v>-0.13777858684627989</c:v>
                </c:pt>
                <c:pt idx="30">
                  <c:v>-0.14761389036108485</c:v>
                </c:pt>
                <c:pt idx="31">
                  <c:v>-0.15543385770078327</c:v>
                </c:pt>
                <c:pt idx="32">
                  <c:v>-0.13365718627876683</c:v>
                </c:pt>
                <c:pt idx="33">
                  <c:v>-0.15456969975050902</c:v>
                </c:pt>
                <c:pt idx="34">
                  <c:v>-4.1335216712512078E-2</c:v>
                </c:pt>
                <c:pt idx="35">
                  <c:v>-8.0600919947672697E-2</c:v>
                </c:pt>
                <c:pt idx="36">
                  <c:v>-0.13431950154706904</c:v>
                </c:pt>
                <c:pt idx="37">
                  <c:v>-0.10738608723852765</c:v>
                </c:pt>
                <c:pt idx="38">
                  <c:v>-0.58902747650036158</c:v>
                </c:pt>
                <c:pt idx="39">
                  <c:v>-0.88588163234055584</c:v>
                </c:pt>
                <c:pt idx="40">
                  <c:v>-0.75645613695715253</c:v>
                </c:pt>
                <c:pt idx="41">
                  <c:v>-0.50502186698838791</c:v>
                </c:pt>
                <c:pt idx="42">
                  <c:v>-0.44959584763861482</c:v>
                </c:pt>
                <c:pt idx="43">
                  <c:v>-0.56351236146632566</c:v>
                </c:pt>
                <c:pt idx="44">
                  <c:v>-0.51708799298311559</c:v>
                </c:pt>
                <c:pt idx="45">
                  <c:v>-0.70960957905091415</c:v>
                </c:pt>
                <c:pt idx="46">
                  <c:v>-0.70383869716944547</c:v>
                </c:pt>
                <c:pt idx="47">
                  <c:v>-0.43484646807729382</c:v>
                </c:pt>
                <c:pt idx="48">
                  <c:v>-0.53927862008596406</c:v>
                </c:pt>
                <c:pt idx="49">
                  <c:v>-0.32486290638464549</c:v>
                </c:pt>
                <c:pt idx="50">
                  <c:v>-0.24728643444298107</c:v>
                </c:pt>
                <c:pt idx="51">
                  <c:v>0.50326222417711308</c:v>
                </c:pt>
                <c:pt idx="52">
                  <c:v>4.610868835961087</c:v>
                </c:pt>
                <c:pt idx="53">
                  <c:v>2.2781307916335716</c:v>
                </c:pt>
                <c:pt idx="54">
                  <c:v>0.85265980135275121</c:v>
                </c:pt>
                <c:pt idx="55">
                  <c:v>0.6864440078585462</c:v>
                </c:pt>
                <c:pt idx="56">
                  <c:v>0.94483901515151514</c:v>
                </c:pt>
                <c:pt idx="57">
                  <c:v>0.84451219512195119</c:v>
                </c:pt>
                <c:pt idx="58">
                  <c:v>2.7363625744655997</c:v>
                </c:pt>
                <c:pt idx="59">
                  <c:v>2.0759361089290391</c:v>
                </c:pt>
                <c:pt idx="60">
                  <c:v>0.86290912044180945</c:v>
                </c:pt>
                <c:pt idx="61">
                  <c:v>0.80747073940102554</c:v>
                </c:pt>
                <c:pt idx="62">
                  <c:v>7.2158967292769605E-2</c:v>
                </c:pt>
                <c:pt idx="63">
                  <c:v>0.16574152286714131</c:v>
                </c:pt>
                <c:pt idx="64">
                  <c:v>0.33302448063981271</c:v>
                </c:pt>
                <c:pt idx="65">
                  <c:v>0.64474470883654189</c:v>
                </c:pt>
                <c:pt idx="66">
                  <c:v>0.32092234381940798</c:v>
                </c:pt>
                <c:pt idx="67">
                  <c:v>7.485857124062624E-2</c:v>
                </c:pt>
                <c:pt idx="68">
                  <c:v>3.1017008387698042E-2</c:v>
                </c:pt>
                <c:pt idx="69">
                  <c:v>0.28600121728545341</c:v>
                </c:pt>
                <c:pt idx="70">
                  <c:v>0.17538245120450149</c:v>
                </c:pt>
                <c:pt idx="71">
                  <c:v>-1.3224122299684248E-2</c:v>
                </c:pt>
                <c:pt idx="72">
                  <c:v>0.16889418574955309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03-4FF1-944A-8E1E6A84D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7654463"/>
        <c:axId val="1308770159"/>
      </c:scatterChart>
      <c:valAx>
        <c:axId val="1207654463"/>
        <c:scaling>
          <c:orientation val="minMax"/>
          <c:min val="201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308770159"/>
        <c:crosses val="autoZero"/>
        <c:crossBetween val="midCat"/>
        <c:majorUnit val="1"/>
      </c:valAx>
      <c:valAx>
        <c:axId val="130877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Breyting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076544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Flug!$AQ$9</c:f>
              <c:strCache>
                <c:ptCount val="1"/>
                <c:pt idx="0">
                  <c:v>Hreyfingar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Flug!$AO$43:$AO$94</c:f>
              <c:numCache>
                <c:formatCode>General</c:formatCode>
                <c:ptCount val="52"/>
                <c:pt idx="0">
                  <c:v>2018.7499999999975</c:v>
                </c:pt>
                <c:pt idx="1">
                  <c:v>2018.8333333333308</c:v>
                </c:pt>
                <c:pt idx="2">
                  <c:v>2018.916666666664</c:v>
                </c:pt>
                <c:pt idx="3">
                  <c:v>2018.9999999999973</c:v>
                </c:pt>
                <c:pt idx="4">
                  <c:v>2019.0833333333305</c:v>
                </c:pt>
                <c:pt idx="5">
                  <c:v>2019.1666666666638</c:v>
                </c:pt>
                <c:pt idx="6">
                  <c:v>2019.249999999997</c:v>
                </c:pt>
                <c:pt idx="7">
                  <c:v>2019.3333333333303</c:v>
                </c:pt>
                <c:pt idx="8">
                  <c:v>2019.4166666666636</c:v>
                </c:pt>
                <c:pt idx="9">
                  <c:v>2019.4999999999968</c:v>
                </c:pt>
                <c:pt idx="10">
                  <c:v>2019.5833333333301</c:v>
                </c:pt>
                <c:pt idx="11">
                  <c:v>2019.6666666666633</c:v>
                </c:pt>
                <c:pt idx="12">
                  <c:v>2019.7499999999966</c:v>
                </c:pt>
                <c:pt idx="13">
                  <c:v>2019.8333333333298</c:v>
                </c:pt>
                <c:pt idx="14">
                  <c:v>2019.9166666666631</c:v>
                </c:pt>
                <c:pt idx="15">
                  <c:v>2019.9999999999964</c:v>
                </c:pt>
                <c:pt idx="16">
                  <c:v>2020.0833333333296</c:v>
                </c:pt>
                <c:pt idx="17">
                  <c:v>2020.1666666666629</c:v>
                </c:pt>
                <c:pt idx="18">
                  <c:v>2020.2499999999961</c:v>
                </c:pt>
                <c:pt idx="19">
                  <c:v>2020.3333333333294</c:v>
                </c:pt>
                <c:pt idx="20">
                  <c:v>2020.4166666666626</c:v>
                </c:pt>
                <c:pt idx="21">
                  <c:v>2020.4999999999959</c:v>
                </c:pt>
                <c:pt idx="22">
                  <c:v>2020.5833333333292</c:v>
                </c:pt>
                <c:pt idx="23">
                  <c:v>2020.6666666666624</c:v>
                </c:pt>
                <c:pt idx="24">
                  <c:v>2020.7499999999957</c:v>
                </c:pt>
                <c:pt idx="25">
                  <c:v>2020.8333333333289</c:v>
                </c:pt>
                <c:pt idx="26">
                  <c:v>2020.9166666666622</c:v>
                </c:pt>
                <c:pt idx="27">
                  <c:v>2020.9999999999955</c:v>
                </c:pt>
                <c:pt idx="28">
                  <c:v>2021.0833333333287</c:v>
                </c:pt>
                <c:pt idx="29">
                  <c:v>2021.166666666662</c:v>
                </c:pt>
                <c:pt idx="30">
                  <c:v>2021.2499999999952</c:v>
                </c:pt>
                <c:pt idx="31">
                  <c:v>2021.3333333333285</c:v>
                </c:pt>
                <c:pt idx="32">
                  <c:v>2021.4166666666617</c:v>
                </c:pt>
                <c:pt idx="33">
                  <c:v>2021.499999999995</c:v>
                </c:pt>
                <c:pt idx="34">
                  <c:v>2021.5833333333283</c:v>
                </c:pt>
                <c:pt idx="35">
                  <c:v>2021.6666666666615</c:v>
                </c:pt>
                <c:pt idx="36">
                  <c:v>2021.7499999999948</c:v>
                </c:pt>
                <c:pt idx="37">
                  <c:v>2021.833333333328</c:v>
                </c:pt>
                <c:pt idx="38">
                  <c:v>2021.9166666666613</c:v>
                </c:pt>
                <c:pt idx="39">
                  <c:v>2021.9999999999945</c:v>
                </c:pt>
                <c:pt idx="40">
                  <c:v>2022.0833333333278</c:v>
                </c:pt>
                <c:pt idx="41">
                  <c:v>2022.1666666666611</c:v>
                </c:pt>
                <c:pt idx="42">
                  <c:v>2022.2499999999943</c:v>
                </c:pt>
                <c:pt idx="43">
                  <c:v>2022.3333333333276</c:v>
                </c:pt>
                <c:pt idx="44">
                  <c:v>2022.4166666666608</c:v>
                </c:pt>
                <c:pt idx="45">
                  <c:v>2022.4999999999941</c:v>
                </c:pt>
                <c:pt idx="46">
                  <c:v>2022.5833333333273</c:v>
                </c:pt>
                <c:pt idx="47">
                  <c:v>2022.6666666666606</c:v>
                </c:pt>
                <c:pt idx="48">
                  <c:v>2022.7499999999939</c:v>
                </c:pt>
                <c:pt idx="49">
                  <c:v>2022.8333333333271</c:v>
                </c:pt>
                <c:pt idx="50">
                  <c:v>2022.9166666666604</c:v>
                </c:pt>
                <c:pt idx="51">
                  <c:v>2022.9999999999936</c:v>
                </c:pt>
              </c:numCache>
            </c:numRef>
          </c:xVal>
          <c:yVal>
            <c:numRef>
              <c:f>Flug!$AQ$43:$AQ$94</c:f>
              <c:numCache>
                <c:formatCode>0.0%</c:formatCode>
                <c:ptCount val="52"/>
                <c:pt idx="0">
                  <c:v>-0.1236381644106966</c:v>
                </c:pt>
                <c:pt idx="1">
                  <c:v>0.1917989417989418</c:v>
                </c:pt>
                <c:pt idx="2">
                  <c:v>-0.26576895818568391</c:v>
                </c:pt>
                <c:pt idx="3">
                  <c:v>-2.2371364653243847E-3</c:v>
                </c:pt>
                <c:pt idx="4">
                  <c:v>0.8298453139217471</c:v>
                </c:pt>
                <c:pt idx="5">
                  <c:v>0.66102826619185395</c:v>
                </c:pt>
                <c:pt idx="6">
                  <c:v>-0.22402597402597402</c:v>
                </c:pt>
                <c:pt idx="7">
                  <c:v>0.3135609756097561</c:v>
                </c:pt>
                <c:pt idx="8">
                  <c:v>1.6680294358135731E-2</c:v>
                </c:pt>
                <c:pt idx="9">
                  <c:v>-8.5789705235371758E-2</c:v>
                </c:pt>
                <c:pt idx="10">
                  <c:v>-8.4347953645298512E-2</c:v>
                </c:pt>
                <c:pt idx="11">
                  <c:v>-0.22025447042640992</c:v>
                </c:pt>
                <c:pt idx="12">
                  <c:v>-0.15031079299303071</c:v>
                </c:pt>
                <c:pt idx="13">
                  <c:v>-2.8671846096929337E-2</c:v>
                </c:pt>
                <c:pt idx="14">
                  <c:v>-0.13481338481338481</c:v>
                </c:pt>
                <c:pt idx="15">
                  <c:v>-0.41278026905829596</c:v>
                </c:pt>
                <c:pt idx="16">
                  <c:v>-0.15116857284932869</c:v>
                </c:pt>
                <c:pt idx="17">
                  <c:v>-0.49175934610746347</c:v>
                </c:pt>
                <c:pt idx="18">
                  <c:v>-0.63319386331938632</c:v>
                </c:pt>
                <c:pt idx="19">
                  <c:v>-0.42498514557338085</c:v>
                </c:pt>
                <c:pt idx="20">
                  <c:v>-0.34775615248512143</c:v>
                </c:pt>
                <c:pt idx="21">
                  <c:v>-8.2451074751363485E-2</c:v>
                </c:pt>
                <c:pt idx="22">
                  <c:v>-0.26497917334187759</c:v>
                </c:pt>
                <c:pt idx="23">
                  <c:v>-0.22183020948180815</c:v>
                </c:pt>
                <c:pt idx="24">
                  <c:v>-0.39414763910441142</c:v>
                </c:pt>
                <c:pt idx="25">
                  <c:v>-0.56636831079794325</c:v>
                </c:pt>
                <c:pt idx="26">
                  <c:v>-0.11342506507995537</c:v>
                </c:pt>
                <c:pt idx="27">
                  <c:v>-0.35266047432091674</c:v>
                </c:pt>
                <c:pt idx="28">
                  <c:v>-6.7964872088583428E-2</c:v>
                </c:pt>
                <c:pt idx="29">
                  <c:v>-0.20123022847100175</c:v>
                </c:pt>
                <c:pt idx="30">
                  <c:v>0.10519377801212761</c:v>
                </c:pt>
                <c:pt idx="31">
                  <c:v>2.0095057034220534</c:v>
                </c:pt>
                <c:pt idx="32">
                  <c:v>1.0617411521570654</c:v>
                </c:pt>
                <c:pt idx="33">
                  <c:v>0.20394574599260173</c:v>
                </c:pt>
                <c:pt idx="34">
                  <c:v>-0.21713286713286714</c:v>
                </c:pt>
                <c:pt idx="35">
                  <c:v>5.2964254577157803E-2</c:v>
                </c:pt>
                <c:pt idx="36">
                  <c:v>9.3794275998866528E-2</c:v>
                </c:pt>
                <c:pt idx="37">
                  <c:v>0.70106110501280638</c:v>
                </c:pt>
                <c:pt idx="38">
                  <c:v>0.35265700483091789</c:v>
                </c:pt>
                <c:pt idx="39">
                  <c:v>0.24789822736125836</c:v>
                </c:pt>
                <c:pt idx="40">
                  <c:v>-0.24252355591970504</c:v>
                </c:pt>
                <c:pt idx="41">
                  <c:v>-7.4807480748074806E-2</c:v>
                </c:pt>
                <c:pt idx="42">
                  <c:v>-0.44036259541984735</c:v>
                </c:pt>
                <c:pt idx="43">
                  <c:v>-0.24552537376289746</c:v>
                </c:pt>
                <c:pt idx="44">
                  <c:v>-0.5524370379651673</c:v>
                </c:pt>
                <c:pt idx="45">
                  <c:v>-0.28000819336337568</c:v>
                </c:pt>
                <c:pt idx="46">
                  <c:v>-3.9973202322465387E-2</c:v>
                </c:pt>
                <c:pt idx="47">
                  <c:v>0.24197888635893189</c:v>
                </c:pt>
                <c:pt idx="48">
                  <c:v>0.32953367875647671</c:v>
                </c:pt>
                <c:pt idx="49">
                  <c:v>-5.2269305226930525E-2</c:v>
                </c:pt>
                <c:pt idx="50">
                  <c:v>-0.13928571428571429</c:v>
                </c:pt>
                <c:pt idx="51">
                  <c:v>3.9694100509832485E-2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40-4C4A-BDC6-697C15415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7654463"/>
        <c:axId val="1308770159"/>
      </c:scatterChart>
      <c:valAx>
        <c:axId val="1207654463"/>
        <c:scaling>
          <c:orientation val="minMax"/>
          <c:min val="201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308770159"/>
        <c:crosses val="autoZero"/>
        <c:crossBetween val="midCat"/>
        <c:majorUnit val="1"/>
      </c:valAx>
      <c:valAx>
        <c:axId val="130877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076544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3"/>
          <c:order val="0"/>
          <c:tx>
            <c:strRef>
              <c:f>Flug!$AE$6</c:f>
              <c:strCache>
                <c:ptCount val="1"/>
                <c:pt idx="0">
                  <c:v>Farþegar</c:v>
                </c:pt>
              </c:strCache>
            </c:strRef>
          </c:tx>
          <c:xVal>
            <c:numRef>
              <c:f>Flug!$U$7:$U$13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xVal>
          <c:yVal>
            <c:numRef>
              <c:f>Flug!$AE$7:$AE$13</c:f>
              <c:numCache>
                <c:formatCode>#,##0</c:formatCode>
                <c:ptCount val="7"/>
                <c:pt idx="0">
                  <c:v>154074</c:v>
                </c:pt>
                <c:pt idx="1">
                  <c:v>156017</c:v>
                </c:pt>
                <c:pt idx="2">
                  <c:v>144444</c:v>
                </c:pt>
                <c:pt idx="3">
                  <c:v>138592</c:v>
                </c:pt>
                <c:pt idx="4">
                  <c:v>66619</c:v>
                </c:pt>
                <c:pt idx="5">
                  <c:v>92358</c:v>
                </c:pt>
                <c:pt idx="6">
                  <c:v>121660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D7-4ED5-BC04-C6CBEE25C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554703"/>
        <c:axId val="2085043807"/>
      </c:scatterChart>
      <c:scatterChart>
        <c:scatterStyle val="lineMarker"/>
        <c:varyColors val="0"/>
        <c:ser>
          <c:idx val="1"/>
          <c:order val="1"/>
          <c:tx>
            <c:strRef>
              <c:f>Flug!$AB$6</c:f>
              <c:strCache>
                <c:ptCount val="1"/>
                <c:pt idx="0">
                  <c:v>Hreyfingar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Flug!$U$7:$U$13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xVal>
          <c:yVal>
            <c:numRef>
              <c:f>Flug!$AB$7:$AB$13</c:f>
              <c:numCache>
                <c:formatCode>#,##0</c:formatCode>
                <c:ptCount val="7"/>
                <c:pt idx="0">
                  <c:v>28087</c:v>
                </c:pt>
                <c:pt idx="1">
                  <c:v>24184</c:v>
                </c:pt>
                <c:pt idx="2">
                  <c:v>21830</c:v>
                </c:pt>
                <c:pt idx="3">
                  <c:v>26979</c:v>
                </c:pt>
                <c:pt idx="4">
                  <c:v>15275</c:v>
                </c:pt>
                <c:pt idx="5">
                  <c:v>22090</c:v>
                </c:pt>
                <c:pt idx="6">
                  <c:v>13873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D7-4ED5-BC04-C6CBEE25C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4364207"/>
        <c:axId val="1214363791"/>
      </c:scatterChart>
      <c:valAx>
        <c:axId val="1210554703"/>
        <c:scaling>
          <c:orientation val="minMax"/>
          <c:max val="2022"/>
          <c:min val="201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043807"/>
        <c:crosses val="autoZero"/>
        <c:crossBetween val="midCat"/>
        <c:majorUnit val="1"/>
      </c:valAx>
      <c:valAx>
        <c:axId val="20850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Farþegafjöldi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0554703"/>
        <c:crosses val="autoZero"/>
        <c:crossBetween val="midCat"/>
        <c:dispUnits>
          <c:custUnit val="1000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</c:dispUnitsLbl>
        </c:dispUnits>
      </c:valAx>
      <c:valAx>
        <c:axId val="121436379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Hreyfingar</a:t>
                </a:r>
              </a:p>
            </c:rich>
          </c:tx>
          <c:layout>
            <c:manualLayout>
              <c:xMode val="edge"/>
              <c:yMode val="edge"/>
              <c:x val="0.93371911937238805"/>
              <c:y val="0.251170406613934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4364207"/>
        <c:crosses val="max"/>
        <c:crossBetween val="midCat"/>
        <c:dispUnits>
          <c:custUnit val="1000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</c:dispUnitsLbl>
        </c:dispUnits>
      </c:valAx>
      <c:valAx>
        <c:axId val="1214364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4363791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Flug!$AE$6</c:f>
              <c:strCache>
                <c:ptCount val="1"/>
                <c:pt idx="0">
                  <c:v>Farþegar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Flug!$U$17:$U$22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Flug!$AE$17:$AE$22</c:f>
              <c:numCache>
                <c:formatCode>0.0%</c:formatCode>
                <c:ptCount val="6"/>
                <c:pt idx="0">
                  <c:v>1.2610823370588159E-2</c:v>
                </c:pt>
                <c:pt idx="1">
                  <c:v>-7.4177813956171443E-2</c:v>
                </c:pt>
                <c:pt idx="2">
                  <c:v>-4.0513970812217887E-2</c:v>
                </c:pt>
                <c:pt idx="3">
                  <c:v>-0.51931568921727089</c:v>
                </c:pt>
                <c:pt idx="4">
                  <c:v>0.38636124829252916</c:v>
                </c:pt>
                <c:pt idx="5">
                  <c:v>0.31726542367742916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48-4E89-B406-416A3ED3F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554703"/>
        <c:axId val="2085043807"/>
      </c:scatterChart>
      <c:scatterChart>
        <c:scatterStyle val="lineMarker"/>
        <c:varyColors val="0"/>
        <c:ser>
          <c:idx val="1"/>
          <c:order val="1"/>
          <c:tx>
            <c:strRef>
              <c:f>Flug!$AB$6</c:f>
              <c:strCache>
                <c:ptCount val="1"/>
                <c:pt idx="0">
                  <c:v>Hreyfingar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Flug!$U$17:$U$22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Flug!$AB$17:$AB$22</c:f>
              <c:numCache>
                <c:formatCode>0.0%</c:formatCode>
                <c:ptCount val="6"/>
                <c:pt idx="0">
                  <c:v>-0.13896108519955852</c:v>
                </c:pt>
                <c:pt idx="1">
                  <c:v>-9.7337082368508104E-2</c:v>
                </c:pt>
                <c:pt idx="2">
                  <c:v>0.2358680714612918</c:v>
                </c:pt>
                <c:pt idx="3">
                  <c:v>-0.43381889617850922</c:v>
                </c:pt>
                <c:pt idx="4">
                  <c:v>0.44615384615384618</c:v>
                </c:pt>
                <c:pt idx="5">
                  <c:v>-0.37197827071072881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448-4E89-B406-416A3ED3F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4364207"/>
        <c:axId val="1214363791"/>
      </c:scatterChart>
      <c:valAx>
        <c:axId val="1210554703"/>
        <c:scaling>
          <c:orientation val="minMax"/>
          <c:max val="2022"/>
          <c:min val="201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043807"/>
        <c:crosses val="autoZero"/>
        <c:crossBetween val="midCat"/>
        <c:majorUnit val="1"/>
      </c:valAx>
      <c:valAx>
        <c:axId val="2085043807"/>
        <c:scaling>
          <c:orientation val="minMax"/>
          <c:max val="0.55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Farþegafjöldi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0554703"/>
        <c:crosses val="autoZero"/>
        <c:crossBetween val="midCat"/>
      </c:valAx>
      <c:valAx>
        <c:axId val="1214363791"/>
        <c:scaling>
          <c:orientation val="minMax"/>
          <c:max val="0.5"/>
          <c:min val="-0.60000000000000009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Hreyfingar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4364207"/>
        <c:crosses val="max"/>
        <c:crossBetween val="midCat"/>
      </c:valAx>
      <c:valAx>
        <c:axId val="1214364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436379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Skip!$C$3</c:f>
          <c:strCache>
            <c:ptCount val="1"/>
            <c:pt idx="0">
              <c:v>Sundahöfn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(Skip!$B$13,Skip!$B$16,Skip!$B$18:$B$20)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Skip!$F$9:$F$20</c15:sqref>
                  </c15:fullRef>
                </c:ext>
              </c:extLst>
              <c:f>(Skip!$F$13,Skip!$F$16,Skip!$F$18:$F$20)</c:f>
              <c:numCache>
                <c:formatCode>#,##0</c:formatCode>
                <c:ptCount val="5"/>
                <c:pt idx="0">
                  <c:v>10253.903232000001</c:v>
                </c:pt>
                <c:pt idx="1">
                  <c:v>12626.697</c:v>
                </c:pt>
                <c:pt idx="2">
                  <c:v>2064.4776000000002</c:v>
                </c:pt>
                <c:pt idx="3">
                  <c:v>0</c:v>
                </c:pt>
                <c:pt idx="4">
                  <c:v>788.88250000000005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F-43D6-AB67-90EF2798FF25}"/>
            </c:ext>
          </c:extLst>
        </c:ser>
        <c:ser>
          <c:idx val="1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(Skip!$B$13,Skip!$B$16,Skip!$B$18:$B$20)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Skip!$F$22:$F$33</c15:sqref>
                  </c15:fullRef>
                </c:ext>
              </c:extLst>
              <c:f>(Skip!$F$26,Skip!$F$29,Skip!$F$31:$F$33)</c:f>
              <c:numCache>
                <c:formatCode>#,##0</c:formatCode>
                <c:ptCount val="5"/>
                <c:pt idx="0">
                  <c:v>12544.778778</c:v>
                </c:pt>
                <c:pt idx="1">
                  <c:v>10610.726000000001</c:v>
                </c:pt>
                <c:pt idx="2">
                  <c:v>2103.1581999999999</c:v>
                </c:pt>
                <c:pt idx="3">
                  <c:v>0</c:v>
                </c:pt>
                <c:pt idx="4">
                  <c:v>652.22568000000001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F-43D6-AB67-90EF2798FF25}"/>
            </c:ext>
          </c:extLst>
        </c:ser>
        <c:ser>
          <c:idx val="2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(Skip!$B$13,Skip!$B$16,Skip!$B$18:$B$20)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Skip!$F$35:$F$46</c15:sqref>
                  </c15:fullRef>
                </c:ext>
              </c:extLst>
              <c:f>(Skip!$F$39,Skip!$F$42,Skip!$F$44:$F$46)</c:f>
              <c:numCache>
                <c:formatCode>#,##0</c:formatCode>
                <c:ptCount val="5"/>
                <c:pt idx="0">
                  <c:v>13457.445100000001</c:v>
                </c:pt>
                <c:pt idx="1">
                  <c:v>12441.867553</c:v>
                </c:pt>
                <c:pt idx="2">
                  <c:v>1992.0116</c:v>
                </c:pt>
                <c:pt idx="3">
                  <c:v>0</c:v>
                </c:pt>
                <c:pt idx="4">
                  <c:v>825.88745999999992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EF-43D6-AB67-90EF2798FF25}"/>
            </c:ext>
          </c:extLst>
        </c:ser>
        <c:ser>
          <c:idx val="3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(Skip!$B$13,Skip!$B$16,Skip!$B$18:$B$20)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Skip!$F$48:$F$59</c15:sqref>
                  </c15:fullRef>
                </c:ext>
              </c:extLst>
              <c:f>(Skip!$F$52,Skip!$F$55,Skip!$F$57:$F$59)</c:f>
              <c:numCache>
                <c:formatCode>#,##0</c:formatCode>
                <c:ptCount val="5"/>
                <c:pt idx="0">
                  <c:v>17861.026180000001</c:v>
                </c:pt>
                <c:pt idx="1">
                  <c:v>16966.674899999998</c:v>
                </c:pt>
                <c:pt idx="2">
                  <c:v>1880.8135</c:v>
                </c:pt>
                <c:pt idx="3">
                  <c:v>0</c:v>
                </c:pt>
                <c:pt idx="4">
                  <c:v>151.53954999999999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EF-43D6-AB67-90EF2798FF25}"/>
            </c:ext>
          </c:extLst>
        </c:ser>
        <c:ser>
          <c:idx val="4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(Skip!$B$13,Skip!$B$16,Skip!$B$18:$B$20)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Skip!$F$61:$F$72</c15:sqref>
                  </c15:fullRef>
                </c:ext>
              </c:extLst>
              <c:f>(Skip!$F$65,Skip!$F$68,Skip!$F$70:$F$72)</c:f>
              <c:numCache>
                <c:formatCode>#,##0</c:formatCode>
                <c:ptCount val="5"/>
                <c:pt idx="0">
                  <c:v>20502.696624</c:v>
                </c:pt>
                <c:pt idx="1">
                  <c:v>320.66964200000001</c:v>
                </c:pt>
                <c:pt idx="2">
                  <c:v>4792.3062</c:v>
                </c:pt>
                <c:pt idx="3">
                  <c:v>0</c:v>
                </c:pt>
                <c:pt idx="4">
                  <c:v>178.68713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EF-43D6-AB67-90EF2798FF25}"/>
            </c:ext>
          </c:extLst>
        </c:ser>
        <c:ser>
          <c:idx val="5"/>
          <c:order val="5"/>
          <c:tx>
            <c:strRef>
              <c:f>Skip!$A$74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Flutningaskip</c:v>
              </c:pt>
              <c:pt idx="1">
                <c:v>Farþegaskip</c:v>
              </c:pt>
              <c:pt idx="2">
                <c:v>Fiskiskip</c:v>
              </c:pt>
              <c:pt idx="3">
                <c:v>Hvalaskoðunarskip</c:v>
              </c:pt>
              <c:pt idx="4">
                <c:v>Önnur skip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Skip!$F$74:$F$85</c15:sqref>
                  </c15:fullRef>
                </c:ext>
              </c:extLst>
              <c:f>(Skip!$F$78,Skip!$F$81,Skip!$F$83:$F$85)</c:f>
              <c:numCache>
                <c:formatCode>#,##0</c:formatCode>
                <c:ptCount val="5"/>
                <c:pt idx="0">
                  <c:v>15998</c:v>
                </c:pt>
                <c:pt idx="1">
                  <c:v>4880</c:v>
                </c:pt>
                <c:pt idx="2">
                  <c:v>3720</c:v>
                </c:pt>
                <c:pt idx="3">
                  <c:v>0</c:v>
                </c:pt>
                <c:pt idx="4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FF-4ECD-AC24-9D973925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Losun (tonn</a:t>
                </a:r>
                <a:r>
                  <a:rPr lang="is-IS" baseline="0"/>
                  <a:t> CO</a:t>
                </a:r>
                <a:r>
                  <a:rPr lang="is-IS" baseline="-25000"/>
                  <a:t>2</a:t>
                </a:r>
                <a:r>
                  <a:rPr lang="is-IS" baseline="0"/>
                  <a:t> ígilda)</a:t>
                </a:r>
                <a:endParaRPr lang="is-I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625864464223014"/>
          <c:y val="0.21210272468625674"/>
          <c:w val="9.3331287844683683E-2"/>
          <c:h val="0.498295628329715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Skip!$C$3</c:f>
          <c:strCache>
            <c:ptCount val="1"/>
            <c:pt idx="0">
              <c:v>Sundahöfn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(Skip!$B$13,Skip!$B$16,Skip!$B$19:$B$20)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Hvalaskoðunarskip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Skip!$H$9:$H$20</c15:sqref>
                  </c15:fullRef>
                </c:ext>
              </c:extLst>
              <c:f>(Skip!$H$13,Skip!$H$16,Skip!$H$19:$H$20)</c:f>
              <c:numCache>
                <c:formatCode>#,##0</c:formatCode>
                <c:ptCount val="4"/>
                <c:pt idx="0">
                  <c:v>386</c:v>
                </c:pt>
                <c:pt idx="1">
                  <c:v>62</c:v>
                </c:pt>
                <c:pt idx="2">
                  <c:v>0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6-4CF1-BFB7-1824A9F93CF1}"/>
            </c:ext>
          </c:extLst>
        </c:ser>
        <c:ser>
          <c:idx val="1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(Skip!$B$13,Skip!$B$16,Skip!$B$19:$B$20)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Hvalaskoðunarskip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Skip!$H$22:$H$33</c15:sqref>
                  </c15:fullRef>
                </c:ext>
              </c:extLst>
              <c:f>(Skip!$H$26,Skip!$H$29,Skip!$H$32:$H$33)</c:f>
              <c:numCache>
                <c:formatCode>#,##0</c:formatCode>
                <c:ptCount val="4"/>
                <c:pt idx="0">
                  <c:v>460</c:v>
                </c:pt>
                <c:pt idx="1">
                  <c:v>80</c:v>
                </c:pt>
                <c:pt idx="2">
                  <c:v>0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E6-4CF1-BFB7-1824A9F93CF1}"/>
            </c:ext>
          </c:extLst>
        </c:ser>
        <c:ser>
          <c:idx val="2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(Skip!$B$13,Skip!$B$16,Skip!$B$19:$B$20)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Hvalaskoðunarskip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Skip!$H$35:$H$46</c15:sqref>
                  </c15:fullRef>
                </c:ext>
              </c:extLst>
              <c:f>(Skip!$H$39,Skip!$H$42,Skip!$H$45:$H$46)</c:f>
              <c:numCache>
                <c:formatCode>#,##0</c:formatCode>
                <c:ptCount val="4"/>
                <c:pt idx="0">
                  <c:v>435</c:v>
                </c:pt>
                <c:pt idx="1">
                  <c:v>84</c:v>
                </c:pt>
                <c:pt idx="2">
                  <c:v>0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E6-4CF1-BFB7-1824A9F93CF1}"/>
            </c:ext>
          </c:extLst>
        </c:ser>
        <c:ser>
          <c:idx val="3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(Skip!$B$13,Skip!$B$16,Skip!$B$19:$B$20)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Hvalaskoðunarskip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Skip!$H$48:$H$59</c15:sqref>
                  </c15:fullRef>
                </c:ext>
              </c:extLst>
              <c:f>(Skip!$H$52,Skip!$H$55,Skip!$H$58:$H$59)</c:f>
              <c:numCache>
                <c:formatCode>#,##0</c:formatCode>
                <c:ptCount val="4"/>
                <c:pt idx="0">
                  <c:v>477</c:v>
                </c:pt>
                <c:pt idx="1">
                  <c:v>109</c:v>
                </c:pt>
                <c:pt idx="2">
                  <c:v>0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E6-4CF1-BFB7-1824A9F93CF1}"/>
            </c:ext>
          </c:extLst>
        </c:ser>
        <c:ser>
          <c:idx val="4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(Skip!$B$13,Skip!$B$16,Skip!$B$19:$B$20)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Hvalaskoðunarskip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Skip!$H$61:$H$72</c15:sqref>
                  </c15:fullRef>
                </c:ext>
              </c:extLst>
              <c:f>(Skip!$H$65,Skip!$H$68,Skip!$H$71:$H$72)</c:f>
              <c:numCache>
                <c:formatCode>#,##0</c:formatCode>
                <c:ptCount val="4"/>
                <c:pt idx="0">
                  <c:v>369</c:v>
                </c:pt>
                <c:pt idx="1">
                  <c:v>2</c:v>
                </c:pt>
                <c:pt idx="2">
                  <c:v>0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E6-4CF1-BFB7-1824A9F93CF1}"/>
            </c:ext>
          </c:extLst>
        </c:ser>
        <c:ser>
          <c:idx val="5"/>
          <c:order val="5"/>
          <c:tx>
            <c:strRef>
              <c:f>Skip!$A$74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Flutningaskip</c:v>
              </c:pt>
              <c:pt idx="1">
                <c:v>Farþegaskip</c:v>
              </c:pt>
              <c:pt idx="2">
                <c:v>Hvalaskoðunarskip</c:v>
              </c:pt>
              <c:pt idx="3">
                <c:v>Önnur skip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Skip!$H$74:$H$85</c15:sqref>
                  </c15:fullRef>
                </c:ext>
              </c:extLst>
              <c:f>(Skip!$H$78,Skip!$H$81,Skip!$H$84:$H$85)</c:f>
              <c:numCache>
                <c:formatCode>#,##0</c:formatCode>
                <c:ptCount val="4"/>
                <c:pt idx="0">
                  <c:v>402</c:v>
                </c:pt>
                <c:pt idx="1">
                  <c:v>34</c:v>
                </c:pt>
                <c:pt idx="2">
                  <c:v>0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86-429E-8296-6E73C6FC438F}"/>
            </c:ext>
          </c:extLst>
        </c:ser>
        <c:ser>
          <c:idx val="6"/>
          <c:order val="6"/>
          <c:tx>
            <c:strRef>
              <c:f>Skip!$A$100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Flutningaskip</c:v>
              </c:pt>
              <c:pt idx="1">
                <c:v>Farþegaskip</c:v>
              </c:pt>
              <c:pt idx="2">
                <c:v>Hvalaskoðunarskip</c:v>
              </c:pt>
              <c:pt idx="3">
                <c:v>Önnur skip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Skip!$H$100:$H$111</c15:sqref>
                  </c15:fullRef>
                </c:ext>
              </c:extLst>
              <c:f>(Skip!$H$104,Skip!$H$107,Skip!$H$110:$H$111)</c:f>
              <c:numCache>
                <c:formatCode>#,##0</c:formatCode>
                <c:ptCount val="4"/>
                <c:pt idx="0">
                  <c:v>446</c:v>
                </c:pt>
                <c:pt idx="1">
                  <c:v>166</c:v>
                </c:pt>
                <c:pt idx="2">
                  <c:v>0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48-4D89-9F56-BB2B3858D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Fjöldi skipakoma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Skip!$AN$30</c:f>
          <c:strCache>
            <c:ptCount val="1"/>
            <c:pt idx="0">
              <c:v>Breytingar á milli ára</c:v>
            </c:pt>
          </c:strCache>
        </c:strRef>
      </c:tx>
      <c:layout>
        <c:manualLayout>
          <c:xMode val="edge"/>
          <c:yMode val="edge"/>
          <c:x val="0.31473203608016825"/>
          <c:y val="2.22133990523449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7.6192393871832034E-2"/>
          <c:y val="0.11138432953390094"/>
          <c:w val="0.87131076116428263"/>
          <c:h val="0.78088218427926015"/>
        </c:manualLayout>
      </c:layout>
      <c:scatterChart>
        <c:scatterStyle val="lineMarker"/>
        <c:varyColors val="0"/>
        <c:ser>
          <c:idx val="2"/>
          <c:order val="0"/>
          <c:tx>
            <c:strRef>
              <c:f>Skip!$AP$32</c:f>
              <c:strCache>
                <c:ptCount val="1"/>
                <c:pt idx="0">
                  <c:v>Farþegaskip</c:v>
                </c:pt>
              </c:strCache>
            </c:strRef>
          </c:tx>
          <c:xVal>
            <c:numRef>
              <c:f>Skip!$AN$33:$AN$38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Skip!$AP$33:$AP$38</c:f>
              <c:numCache>
                <c:formatCode>0.0%</c:formatCode>
                <c:ptCount val="6"/>
                <c:pt idx="0">
                  <c:v>-0.16642760503377749</c:v>
                </c:pt>
                <c:pt idx="1">
                  <c:v>0.23491809444419443</c:v>
                </c:pt>
                <c:pt idx="2">
                  <c:v>0.32678506380264771</c:v>
                </c:pt>
                <c:pt idx="3">
                  <c:v>-0.95455951071173983</c:v>
                </c:pt>
                <c:pt idx="4">
                  <c:v>6.8136475758618289</c:v>
                </c:pt>
                <c:pt idx="5">
                  <c:v>2.2562225475841875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790-47E0-A63D-7C410AC8BFCA}"/>
            </c:ext>
          </c:extLst>
        </c:ser>
        <c:ser>
          <c:idx val="3"/>
          <c:order val="1"/>
          <c:tx>
            <c:strRef>
              <c:f>Skip!$AO$32</c:f>
              <c:strCache>
                <c:ptCount val="1"/>
                <c:pt idx="0">
                  <c:v>Flutningaskip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pPr>
              <a:ln>
                <a:solidFill>
                  <a:srgbClr val="00B050"/>
                </a:solidFill>
              </a:ln>
            </c:spPr>
          </c:marker>
          <c:xVal>
            <c:numRef>
              <c:f>Skip!$AN$33:$AN$38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Skip!$AO$33:$AO$38</c:f>
              <c:numCache>
                <c:formatCode>0.0%</c:formatCode>
                <c:ptCount val="6"/>
                <c:pt idx="0">
                  <c:v>0.19450568855047948</c:v>
                </c:pt>
                <c:pt idx="1">
                  <c:v>6.6143747914344159E-2</c:v>
                </c:pt>
                <c:pt idx="2">
                  <c:v>0.35562797137693192</c:v>
                </c:pt>
                <c:pt idx="3">
                  <c:v>0.1084006533125252</c:v>
                </c:pt>
                <c:pt idx="4">
                  <c:v>-0.20700614341005955</c:v>
                </c:pt>
                <c:pt idx="5">
                  <c:v>1.1260623638643264E-2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790-47E0-A63D-7C410AC8BFCA}"/>
            </c:ext>
          </c:extLst>
        </c:ser>
        <c:ser>
          <c:idx val="0"/>
          <c:order val="2"/>
          <c:tx>
            <c:strRef>
              <c:f>Skip!$AQ$32</c:f>
              <c:strCache>
                <c:ptCount val="1"/>
                <c:pt idx="0">
                  <c:v>Farþega- og flutningaskip</c:v>
                </c:pt>
              </c:strCache>
            </c:strRef>
          </c:tx>
          <c:xVal>
            <c:numRef>
              <c:f>Skip!$AN$33:$AN$38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Skip!$AQ$33:$AQ$38</c:f>
              <c:numCache>
                <c:formatCode>0.0%</c:formatCode>
                <c:ptCount val="6"/>
                <c:pt idx="0">
                  <c:v>-4.9231682178763553E-3</c:v>
                </c:pt>
                <c:pt idx="1">
                  <c:v>0.14426230256221947</c:v>
                </c:pt>
                <c:pt idx="2">
                  <c:v>0.34122011514780265</c:v>
                </c:pt>
                <c:pt idx="3">
                  <c:v>-0.41686358364648496</c:v>
                </c:pt>
                <c:pt idx="4">
                  <c:v>6.3334430726805835E-2</c:v>
                </c:pt>
                <c:pt idx="5">
                  <c:v>0.64648418889639214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790-47E0-A63D-7C410AC8BFCA}"/>
            </c:ext>
          </c:extLst>
        </c:ser>
        <c:ser>
          <c:idx val="1"/>
          <c:order val="3"/>
          <c:tx>
            <c:strRef>
              <c:f>Skip!$AR$32</c:f>
              <c:strCache>
                <c:ptCount val="1"/>
                <c:pt idx="0">
                  <c:v>Alls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Skip!$AN$33:$AN$38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Skip!$AR$33:$AR$38</c:f>
              <c:numCache>
                <c:formatCode>0.0%</c:formatCode>
                <c:ptCount val="6"/>
                <c:pt idx="0">
                  <c:v>-0.10158177291492375</c:v>
                </c:pt>
                <c:pt idx="1">
                  <c:v>0.15505645364164353</c:v>
                </c:pt>
                <c:pt idx="2">
                  <c:v>0.22989198096049024</c:v>
                </c:pt>
                <c:pt idx="3">
                  <c:v>-0.26435214805447493</c:v>
                </c:pt>
                <c:pt idx="4">
                  <c:v>-5.3555306185965657E-2</c:v>
                </c:pt>
                <c:pt idx="5">
                  <c:v>0.47870787764938799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790-47E0-A63D-7C410AC8B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464111"/>
        <c:axId val="1036699407"/>
      </c:scatterChart>
      <c:valAx>
        <c:axId val="1040464111"/>
        <c:scaling>
          <c:orientation val="minMax"/>
          <c:max val="2021"/>
          <c:min val="201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36699407"/>
        <c:crosses val="autoZero"/>
        <c:crossBetween val="midCat"/>
        <c:majorUnit val="1"/>
      </c:valAx>
      <c:valAx>
        <c:axId val="1036699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40464111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Breytingar á milli ára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Skip!$BG$17</c:f>
              <c:strCache>
                <c:ptCount val="1"/>
                <c:pt idx="0">
                  <c:v>Skipakomur</c:v>
                </c:pt>
              </c:strCache>
            </c:strRef>
          </c:tx>
          <c:xVal>
            <c:numRef>
              <c:f>Skip!$AN$19:$AN$24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xVal>
          <c:yVal>
            <c:numRef>
              <c:f>Skip!$BG$19:$BG$24</c:f>
              <c:numCache>
                <c:formatCode>0.0%</c:formatCode>
                <c:ptCount val="6"/>
                <c:pt idx="0">
                  <c:v>5.5555555555555552E-2</c:v>
                </c:pt>
                <c:pt idx="1">
                  <c:v>0.16666666666666666</c:v>
                </c:pt>
                <c:pt idx="2">
                  <c:v>0.24812030075187969</c:v>
                </c:pt>
                <c:pt idx="3">
                  <c:v>0.14457831325301204</c:v>
                </c:pt>
                <c:pt idx="4">
                  <c:v>-0.9631578947368421</c:v>
                </c:pt>
                <c:pt idx="5">
                  <c:v>8.7142857142857135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C35-42C6-8120-845243B1B3E1}"/>
            </c:ext>
          </c:extLst>
        </c:ser>
        <c:ser>
          <c:idx val="3"/>
          <c:order val="1"/>
          <c:tx>
            <c:strRef>
              <c:f>Skip!$BD$17</c:f>
              <c:strCache>
                <c:ptCount val="1"/>
                <c:pt idx="0">
                  <c:v>Farþegar</c:v>
                </c:pt>
              </c:strCache>
            </c:strRef>
          </c:tx>
          <c:xVal>
            <c:numRef>
              <c:f>Skip!$AN$19:$AN$24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xVal>
          <c:yVal>
            <c:numRef>
              <c:f>Skip!$BD$19:$BD$24</c:f>
              <c:numCache>
                <c:formatCode>0.0%</c:formatCode>
                <c:ptCount val="6"/>
                <c:pt idx="0">
                  <c:v>-1.4629372584655636E-2</c:v>
                </c:pt>
                <c:pt idx="1">
                  <c:v>0.29996149012931211</c:v>
                </c:pt>
                <c:pt idx="2">
                  <c:v>0.12771779380237772</c:v>
                </c:pt>
                <c:pt idx="3">
                  <c:v>0.3039721273624687</c:v>
                </c:pt>
                <c:pt idx="4">
                  <c:v>-0.99286433759211157</c:v>
                </c:pt>
                <c:pt idx="5">
                  <c:v>13.078751857355126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C35-42C6-8120-845243B1B3E1}"/>
            </c:ext>
          </c:extLst>
        </c:ser>
        <c:ser>
          <c:idx val="1"/>
          <c:order val="2"/>
          <c:tx>
            <c:strRef>
              <c:f>Skip!$BE$17</c:f>
              <c:strCache>
                <c:ptCount val="1"/>
                <c:pt idx="0">
                  <c:v>Áhöfn</c:v>
                </c:pt>
              </c:strCache>
            </c:strRef>
          </c:tx>
          <c:xVal>
            <c:numRef>
              <c:f>Skip!$AN$19:$AN$24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xVal>
          <c:yVal>
            <c:numRef>
              <c:f>Skip!$BE$19:$BE$24</c:f>
              <c:numCache>
                <c:formatCode>0.0%</c:formatCode>
                <c:ptCount val="6"/>
                <c:pt idx="0">
                  <c:v>1.8341585884650253E-2</c:v>
                </c:pt>
                <c:pt idx="1">
                  <c:v>0.26466694060174406</c:v>
                </c:pt>
                <c:pt idx="2">
                  <c:v>8.0126353790613725E-2</c:v>
                </c:pt>
                <c:pt idx="3">
                  <c:v>0.27573990207055599</c:v>
                </c:pt>
                <c:pt idx="4">
                  <c:v>-0.98467362684866189</c:v>
                </c:pt>
                <c:pt idx="5">
                  <c:v>15.357264957264958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C35-42C6-8120-845243B1B3E1}"/>
            </c:ext>
          </c:extLst>
        </c:ser>
        <c:ser>
          <c:idx val="0"/>
          <c:order val="3"/>
          <c:tx>
            <c:strRef>
              <c:f>Skip!$BC$17</c:f>
              <c:strCache>
                <c:ptCount val="1"/>
                <c:pt idx="0">
                  <c:v>GRT</c:v>
                </c:pt>
              </c:strCache>
            </c:strRef>
          </c:tx>
          <c:xVal>
            <c:numRef>
              <c:f>Skip!$AN$19:$AN$24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xVal>
          <c:yVal>
            <c:numRef>
              <c:f>Skip!$BC$19:$BC$24</c:f>
              <c:numCache>
                <c:formatCode>0.0%</c:formatCode>
                <c:ptCount val="6"/>
                <c:pt idx="0">
                  <c:v>-1.79864794838628E-2</c:v>
                </c:pt>
                <c:pt idx="1">
                  <c:v>0.24605771709619986</c:v>
                </c:pt>
                <c:pt idx="2">
                  <c:v>0.15168299483919431</c:v>
                </c:pt>
                <c:pt idx="3">
                  <c:v>0.2646516837059425</c:v>
                </c:pt>
                <c:pt idx="4">
                  <c:v>-0.98522678499739624</c:v>
                </c:pt>
                <c:pt idx="5">
                  <c:v>15.12994854266827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C35-42C6-8120-845243B1B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464111"/>
        <c:axId val="1036699407"/>
      </c:scatterChart>
      <c:valAx>
        <c:axId val="1040464111"/>
        <c:scaling>
          <c:orientation val="minMax"/>
          <c:max val="2021"/>
          <c:min val="201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36699407"/>
        <c:crosses val="autoZero"/>
        <c:crossBetween val="midCat"/>
        <c:majorUnit val="1"/>
      </c:valAx>
      <c:valAx>
        <c:axId val="1036699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40464111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6.2905976132339878E-2"/>
          <c:y val="0.91064691453227087"/>
          <c:w val="0.89999995692846546"/>
          <c:h val="7.2231633029303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Skip!$AS$17</c:f>
              <c:strCache>
                <c:ptCount val="1"/>
                <c:pt idx="0">
                  <c:v>GRT</c:v>
                </c:pt>
              </c:strCache>
            </c:strRef>
          </c:tx>
          <c:xVal>
            <c:numRef>
              <c:f>Skip!$AN$18:$AN$24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xVal>
          <c:yVal>
            <c:numRef>
              <c:f>Skip!$AS$18:$AS$24</c:f>
              <c:numCache>
                <c:formatCode>General</c:formatCode>
                <c:ptCount val="7"/>
                <c:pt idx="0">
                  <c:v>4044816</c:v>
                </c:pt>
                <c:pt idx="1">
                  <c:v>3972064</c:v>
                </c:pt>
                <c:pt idx="2">
                  <c:v>4949421</c:v>
                </c:pt>
                <c:pt idx="3">
                  <c:v>5700164</c:v>
                </c:pt>
                <c:pt idx="4">
                  <c:v>7208722</c:v>
                </c:pt>
                <c:pt idx="5">
                  <c:v>106496</c:v>
                </c:pt>
                <c:pt idx="6">
                  <c:v>1717775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66-4FF9-8014-F55818C01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464111"/>
        <c:axId val="1036699407"/>
      </c:scatterChart>
      <c:scatterChart>
        <c:scatterStyle val="lineMarker"/>
        <c:varyColors val="0"/>
        <c:ser>
          <c:idx val="1"/>
          <c:order val="1"/>
          <c:tx>
            <c:strRef>
              <c:f>Skip!$AT$17</c:f>
              <c:strCache>
                <c:ptCount val="1"/>
                <c:pt idx="0">
                  <c:v>Farþegar</c:v>
                </c:pt>
              </c:strCache>
            </c:strRef>
          </c:tx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Skip!$AN$18:$AN$24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xVal>
          <c:yVal>
            <c:numRef>
              <c:f>Skip!$AT$18:$AT$24</c:f>
              <c:numCache>
                <c:formatCode>General</c:formatCode>
                <c:ptCount val="7"/>
                <c:pt idx="0">
                  <c:v>100141</c:v>
                </c:pt>
                <c:pt idx="1">
                  <c:v>98676</c:v>
                </c:pt>
                <c:pt idx="2">
                  <c:v>128275</c:v>
                </c:pt>
                <c:pt idx="3">
                  <c:v>144658</c:v>
                </c:pt>
                <c:pt idx="4">
                  <c:v>188630</c:v>
                </c:pt>
                <c:pt idx="5">
                  <c:v>1346</c:v>
                </c:pt>
                <c:pt idx="6">
                  <c:v>18950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66-4FF9-8014-F55818C01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8968847"/>
        <c:axId val="1047751135"/>
      </c:scatterChart>
      <c:valAx>
        <c:axId val="1040464111"/>
        <c:scaling>
          <c:orientation val="minMax"/>
          <c:max val="2020"/>
          <c:min val="20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36699407"/>
        <c:crosses val="autoZero"/>
        <c:crossBetween val="midCat"/>
        <c:majorUnit val="1"/>
      </c:valAx>
      <c:valAx>
        <c:axId val="1036699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Heildarþungi (GRT)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40464111"/>
        <c:crosses val="autoZero"/>
        <c:crossBetween val="midCat"/>
        <c:dispUnits>
          <c:builtInUnit val="hundredThousands"/>
          <c:dispUnitsLbl/>
        </c:dispUnits>
      </c:valAx>
      <c:valAx>
        <c:axId val="1047751135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Farþegar og áhöfn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38968847"/>
        <c:crosses val="max"/>
        <c:crossBetween val="midCat"/>
        <c:dispUnits>
          <c:builtInUnit val="hundredThousands"/>
          <c:dispUnitsLbl/>
        </c:dispUnits>
      </c:valAx>
      <c:valAx>
        <c:axId val="103896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7751135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4.4103513797496843E-2"/>
          <c:y val="0.88477375812663273"/>
          <c:w val="0.89999995692846546"/>
          <c:h val="7.2231633029303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Skip!$BM$3:$BM$64</c:f>
              <c:numCache>
                <c:formatCode>General</c:formatCode>
                <c:ptCount val="62"/>
                <c:pt idx="0">
                  <c:v>2015.5</c:v>
                </c:pt>
                <c:pt idx="1">
                  <c:v>2015.5833333333333</c:v>
                </c:pt>
                <c:pt idx="2">
                  <c:v>2015.6666666666665</c:v>
                </c:pt>
                <c:pt idx="3">
                  <c:v>2015.7499999999998</c:v>
                </c:pt>
                <c:pt idx="4">
                  <c:v>2015.833333333333</c:v>
                </c:pt>
                <c:pt idx="5">
                  <c:v>2015.9166666666663</c:v>
                </c:pt>
                <c:pt idx="6">
                  <c:v>2015.9999999999995</c:v>
                </c:pt>
                <c:pt idx="7">
                  <c:v>2016.0833333333328</c:v>
                </c:pt>
                <c:pt idx="8">
                  <c:v>2016.1666666666661</c:v>
                </c:pt>
                <c:pt idx="9">
                  <c:v>2016.2499999999993</c:v>
                </c:pt>
                <c:pt idx="10">
                  <c:v>2016.3333333333326</c:v>
                </c:pt>
                <c:pt idx="11">
                  <c:v>2016.4166666666658</c:v>
                </c:pt>
                <c:pt idx="12">
                  <c:v>2016.4999999999991</c:v>
                </c:pt>
                <c:pt idx="13">
                  <c:v>2016.5833333333323</c:v>
                </c:pt>
                <c:pt idx="14">
                  <c:v>2016.6666666666656</c:v>
                </c:pt>
                <c:pt idx="15">
                  <c:v>2016.7499999999989</c:v>
                </c:pt>
                <c:pt idx="16">
                  <c:v>2016.8333333333321</c:v>
                </c:pt>
                <c:pt idx="17">
                  <c:v>2016.9166666666654</c:v>
                </c:pt>
                <c:pt idx="18">
                  <c:v>2016.9999999999986</c:v>
                </c:pt>
                <c:pt idx="19">
                  <c:v>2017.0833333333319</c:v>
                </c:pt>
                <c:pt idx="20">
                  <c:v>2017.1666666666652</c:v>
                </c:pt>
                <c:pt idx="21">
                  <c:v>2017.2499999999984</c:v>
                </c:pt>
                <c:pt idx="22">
                  <c:v>2017.3333333333317</c:v>
                </c:pt>
                <c:pt idx="23">
                  <c:v>2017.4166666666649</c:v>
                </c:pt>
                <c:pt idx="24">
                  <c:v>2017.4999999999982</c:v>
                </c:pt>
                <c:pt idx="25">
                  <c:v>2017.5833333333314</c:v>
                </c:pt>
                <c:pt idx="26">
                  <c:v>2017.6666666666647</c:v>
                </c:pt>
                <c:pt idx="27">
                  <c:v>2017.749999999998</c:v>
                </c:pt>
                <c:pt idx="28">
                  <c:v>2017.8333333333312</c:v>
                </c:pt>
                <c:pt idx="29">
                  <c:v>2017.9166666666645</c:v>
                </c:pt>
                <c:pt idx="30">
                  <c:v>2017.9999999999977</c:v>
                </c:pt>
                <c:pt idx="31">
                  <c:v>2018.083333333331</c:v>
                </c:pt>
                <c:pt idx="32">
                  <c:v>2018.1666666666642</c:v>
                </c:pt>
                <c:pt idx="33">
                  <c:v>2018.2499999999975</c:v>
                </c:pt>
                <c:pt idx="34">
                  <c:v>2018.3333333333308</c:v>
                </c:pt>
                <c:pt idx="35">
                  <c:v>2018.416666666664</c:v>
                </c:pt>
                <c:pt idx="36">
                  <c:v>2018.4999999999973</c:v>
                </c:pt>
                <c:pt idx="37">
                  <c:v>2018.5833333333305</c:v>
                </c:pt>
                <c:pt idx="38">
                  <c:v>2018.6666666666638</c:v>
                </c:pt>
                <c:pt idx="39">
                  <c:v>2018.749999999997</c:v>
                </c:pt>
                <c:pt idx="40">
                  <c:v>2018.8333333333303</c:v>
                </c:pt>
                <c:pt idx="41">
                  <c:v>2018.9166666666636</c:v>
                </c:pt>
                <c:pt idx="42">
                  <c:v>2018.9999999999968</c:v>
                </c:pt>
                <c:pt idx="43">
                  <c:v>2019.0833333333301</c:v>
                </c:pt>
                <c:pt idx="44">
                  <c:v>2019.1666666666633</c:v>
                </c:pt>
                <c:pt idx="45">
                  <c:v>2019.2499999999966</c:v>
                </c:pt>
                <c:pt idx="46">
                  <c:v>2019.3333333333298</c:v>
                </c:pt>
                <c:pt idx="47">
                  <c:v>2019.4166666666631</c:v>
                </c:pt>
                <c:pt idx="48">
                  <c:v>2019.4999999999964</c:v>
                </c:pt>
                <c:pt idx="49">
                  <c:v>2019.5833333333296</c:v>
                </c:pt>
                <c:pt idx="50">
                  <c:v>2019.6666666666629</c:v>
                </c:pt>
                <c:pt idx="51">
                  <c:v>2019.7499999999961</c:v>
                </c:pt>
                <c:pt idx="52">
                  <c:v>2019.8333333333294</c:v>
                </c:pt>
                <c:pt idx="53">
                  <c:v>2019.9166666666626</c:v>
                </c:pt>
                <c:pt idx="54">
                  <c:v>2019.9999999999959</c:v>
                </c:pt>
                <c:pt idx="55">
                  <c:v>2020.0833333333292</c:v>
                </c:pt>
                <c:pt idx="56">
                  <c:v>2020.1666666666624</c:v>
                </c:pt>
                <c:pt idx="57">
                  <c:v>2020.2499999999957</c:v>
                </c:pt>
                <c:pt idx="58">
                  <c:v>2020.3333333333289</c:v>
                </c:pt>
                <c:pt idx="59">
                  <c:v>2020.4166666666622</c:v>
                </c:pt>
                <c:pt idx="60">
                  <c:v>2020.4999999999955</c:v>
                </c:pt>
                <c:pt idx="61">
                  <c:v>2020.5833333333287</c:v>
                </c:pt>
              </c:numCache>
            </c:numRef>
          </c:xVal>
          <c:yVal>
            <c:numRef>
              <c:f>Skip!$BN$3:$BN$64</c:f>
              <c:numCache>
                <c:formatCode>#,##0.00</c:formatCode>
                <c:ptCount val="62"/>
                <c:pt idx="0">
                  <c:v>54618.400000000001</c:v>
                </c:pt>
                <c:pt idx="1">
                  <c:v>48661</c:v>
                </c:pt>
                <c:pt idx="2">
                  <c:v>56252.4</c:v>
                </c:pt>
                <c:pt idx="3">
                  <c:v>50844.5</c:v>
                </c:pt>
                <c:pt idx="4">
                  <c:v>51994.1</c:v>
                </c:pt>
                <c:pt idx="5">
                  <c:v>57347.5</c:v>
                </c:pt>
                <c:pt idx="6">
                  <c:v>46533.1</c:v>
                </c:pt>
                <c:pt idx="7">
                  <c:v>45365.2</c:v>
                </c:pt>
                <c:pt idx="8">
                  <c:v>66309</c:v>
                </c:pt>
                <c:pt idx="9">
                  <c:v>53810.1</c:v>
                </c:pt>
                <c:pt idx="10">
                  <c:v>64035.6</c:v>
                </c:pt>
                <c:pt idx="11">
                  <c:v>63030.7</c:v>
                </c:pt>
                <c:pt idx="12">
                  <c:v>53653.5</c:v>
                </c:pt>
                <c:pt idx="13">
                  <c:v>53547.7</c:v>
                </c:pt>
                <c:pt idx="14">
                  <c:v>49609.9</c:v>
                </c:pt>
                <c:pt idx="15">
                  <c:v>47625.599999999999</c:v>
                </c:pt>
                <c:pt idx="16">
                  <c:v>52639.6</c:v>
                </c:pt>
                <c:pt idx="17">
                  <c:v>49451.6</c:v>
                </c:pt>
                <c:pt idx="18">
                  <c:v>46446.7</c:v>
                </c:pt>
                <c:pt idx="19">
                  <c:v>44502.9</c:v>
                </c:pt>
                <c:pt idx="20">
                  <c:v>55858.8</c:v>
                </c:pt>
                <c:pt idx="21">
                  <c:v>51902.9</c:v>
                </c:pt>
                <c:pt idx="22">
                  <c:v>73176.800000000003</c:v>
                </c:pt>
                <c:pt idx="23">
                  <c:v>59967.5</c:v>
                </c:pt>
                <c:pt idx="24">
                  <c:v>59997.599999999999</c:v>
                </c:pt>
                <c:pt idx="25">
                  <c:v>52056.800000000003</c:v>
                </c:pt>
                <c:pt idx="26">
                  <c:v>65984.7</c:v>
                </c:pt>
                <c:pt idx="27">
                  <c:v>62654.6</c:v>
                </c:pt>
                <c:pt idx="28">
                  <c:v>56669.9</c:v>
                </c:pt>
                <c:pt idx="29">
                  <c:v>66853.399999999994</c:v>
                </c:pt>
                <c:pt idx="30">
                  <c:v>51372.5</c:v>
                </c:pt>
                <c:pt idx="31">
                  <c:v>60322.400000000001</c:v>
                </c:pt>
                <c:pt idx="32">
                  <c:v>57062.7</c:v>
                </c:pt>
                <c:pt idx="33">
                  <c:v>62465.7</c:v>
                </c:pt>
                <c:pt idx="34">
                  <c:v>69336.2</c:v>
                </c:pt>
                <c:pt idx="35">
                  <c:v>70628.399999999994</c:v>
                </c:pt>
                <c:pt idx="36">
                  <c:v>68925.2</c:v>
                </c:pt>
                <c:pt idx="37">
                  <c:v>66549.600000000006</c:v>
                </c:pt>
                <c:pt idx="38">
                  <c:v>63039.9</c:v>
                </c:pt>
                <c:pt idx="39">
                  <c:v>73077.100000000006</c:v>
                </c:pt>
                <c:pt idx="40">
                  <c:v>72586.2</c:v>
                </c:pt>
                <c:pt idx="41">
                  <c:v>64250.3</c:v>
                </c:pt>
                <c:pt idx="42">
                  <c:v>52595.3</c:v>
                </c:pt>
                <c:pt idx="43">
                  <c:v>60429.1</c:v>
                </c:pt>
                <c:pt idx="44">
                  <c:v>61729.4</c:v>
                </c:pt>
                <c:pt idx="45">
                  <c:v>65567.8</c:v>
                </c:pt>
                <c:pt idx="46">
                  <c:v>66047.199999999997</c:v>
                </c:pt>
                <c:pt idx="47">
                  <c:v>74676.800000000003</c:v>
                </c:pt>
                <c:pt idx="48">
                  <c:v>71560.5</c:v>
                </c:pt>
                <c:pt idx="49">
                  <c:v>58093.4</c:v>
                </c:pt>
                <c:pt idx="50">
                  <c:v>69422.600000000006</c:v>
                </c:pt>
                <c:pt idx="51">
                  <c:v>64734.1</c:v>
                </c:pt>
                <c:pt idx="52">
                  <c:v>57174.6</c:v>
                </c:pt>
                <c:pt idx="53">
                  <c:v>53624.7</c:v>
                </c:pt>
                <c:pt idx="54">
                  <c:v>50798</c:v>
                </c:pt>
                <c:pt idx="55">
                  <c:v>49383.5</c:v>
                </c:pt>
                <c:pt idx="56">
                  <c:v>68943.5</c:v>
                </c:pt>
                <c:pt idx="57">
                  <c:v>47735.9</c:v>
                </c:pt>
                <c:pt idx="58">
                  <c:v>51382.8</c:v>
                </c:pt>
                <c:pt idx="59">
                  <c:v>59472</c:v>
                </c:pt>
                <c:pt idx="60">
                  <c:v>58235</c:v>
                </c:pt>
                <c:pt idx="61">
                  <c:v>55303.6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70-4373-9101-D3EE834511F3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Skip!$BM$5:$BM$64</c:f>
              <c:numCache>
                <c:formatCode>General</c:formatCode>
                <c:ptCount val="60"/>
                <c:pt idx="0">
                  <c:v>2015.6666666666665</c:v>
                </c:pt>
                <c:pt idx="1">
                  <c:v>2015.7499999999998</c:v>
                </c:pt>
                <c:pt idx="2">
                  <c:v>2015.833333333333</c:v>
                </c:pt>
                <c:pt idx="3">
                  <c:v>2015.9166666666663</c:v>
                </c:pt>
                <c:pt idx="4">
                  <c:v>2015.9999999999995</c:v>
                </c:pt>
                <c:pt idx="5">
                  <c:v>2016.0833333333328</c:v>
                </c:pt>
                <c:pt idx="6">
                  <c:v>2016.1666666666661</c:v>
                </c:pt>
                <c:pt idx="7">
                  <c:v>2016.2499999999993</c:v>
                </c:pt>
                <c:pt idx="8">
                  <c:v>2016.3333333333326</c:v>
                </c:pt>
                <c:pt idx="9">
                  <c:v>2016.4166666666658</c:v>
                </c:pt>
                <c:pt idx="10">
                  <c:v>2016.4999999999991</c:v>
                </c:pt>
                <c:pt idx="11">
                  <c:v>2016.5833333333323</c:v>
                </c:pt>
                <c:pt idx="12">
                  <c:v>2016.6666666666656</c:v>
                </c:pt>
                <c:pt idx="13">
                  <c:v>2016.7499999999989</c:v>
                </c:pt>
                <c:pt idx="14">
                  <c:v>2016.8333333333321</c:v>
                </c:pt>
                <c:pt idx="15">
                  <c:v>2016.9166666666654</c:v>
                </c:pt>
                <c:pt idx="16">
                  <c:v>2016.9999999999986</c:v>
                </c:pt>
                <c:pt idx="17">
                  <c:v>2017.0833333333319</c:v>
                </c:pt>
                <c:pt idx="18">
                  <c:v>2017.1666666666652</c:v>
                </c:pt>
                <c:pt idx="19">
                  <c:v>2017.2499999999984</c:v>
                </c:pt>
                <c:pt idx="20">
                  <c:v>2017.3333333333317</c:v>
                </c:pt>
                <c:pt idx="21">
                  <c:v>2017.4166666666649</c:v>
                </c:pt>
                <c:pt idx="22">
                  <c:v>2017.4999999999982</c:v>
                </c:pt>
                <c:pt idx="23">
                  <c:v>2017.5833333333314</c:v>
                </c:pt>
                <c:pt idx="24">
                  <c:v>2017.6666666666647</c:v>
                </c:pt>
                <c:pt idx="25">
                  <c:v>2017.749999999998</c:v>
                </c:pt>
                <c:pt idx="26">
                  <c:v>2017.8333333333312</c:v>
                </c:pt>
                <c:pt idx="27">
                  <c:v>2017.9166666666645</c:v>
                </c:pt>
                <c:pt idx="28">
                  <c:v>2017.9999999999977</c:v>
                </c:pt>
                <c:pt idx="29">
                  <c:v>2018.083333333331</c:v>
                </c:pt>
                <c:pt idx="30">
                  <c:v>2018.1666666666642</c:v>
                </c:pt>
                <c:pt idx="31">
                  <c:v>2018.2499999999975</c:v>
                </c:pt>
                <c:pt idx="32">
                  <c:v>2018.3333333333308</c:v>
                </c:pt>
                <c:pt idx="33">
                  <c:v>2018.416666666664</c:v>
                </c:pt>
                <c:pt idx="34">
                  <c:v>2018.4999999999973</c:v>
                </c:pt>
                <c:pt idx="35">
                  <c:v>2018.5833333333305</c:v>
                </c:pt>
                <c:pt idx="36">
                  <c:v>2018.6666666666638</c:v>
                </c:pt>
                <c:pt idx="37">
                  <c:v>2018.749999999997</c:v>
                </c:pt>
                <c:pt idx="38">
                  <c:v>2018.8333333333303</c:v>
                </c:pt>
                <c:pt idx="39">
                  <c:v>2018.9166666666636</c:v>
                </c:pt>
                <c:pt idx="40">
                  <c:v>2018.9999999999968</c:v>
                </c:pt>
                <c:pt idx="41">
                  <c:v>2019.0833333333301</c:v>
                </c:pt>
                <c:pt idx="42">
                  <c:v>2019.1666666666633</c:v>
                </c:pt>
                <c:pt idx="43">
                  <c:v>2019.2499999999966</c:v>
                </c:pt>
                <c:pt idx="44">
                  <c:v>2019.3333333333298</c:v>
                </c:pt>
                <c:pt idx="45">
                  <c:v>2019.4166666666631</c:v>
                </c:pt>
                <c:pt idx="46">
                  <c:v>2019.4999999999964</c:v>
                </c:pt>
                <c:pt idx="47">
                  <c:v>2019.5833333333296</c:v>
                </c:pt>
                <c:pt idx="48">
                  <c:v>2019.6666666666629</c:v>
                </c:pt>
                <c:pt idx="49">
                  <c:v>2019.7499999999961</c:v>
                </c:pt>
                <c:pt idx="50">
                  <c:v>2019.8333333333294</c:v>
                </c:pt>
                <c:pt idx="51">
                  <c:v>2019.9166666666626</c:v>
                </c:pt>
                <c:pt idx="52">
                  <c:v>2019.9999999999959</c:v>
                </c:pt>
                <c:pt idx="53">
                  <c:v>2020.0833333333292</c:v>
                </c:pt>
                <c:pt idx="54">
                  <c:v>2020.1666666666624</c:v>
                </c:pt>
                <c:pt idx="55">
                  <c:v>2020.2499999999957</c:v>
                </c:pt>
                <c:pt idx="56">
                  <c:v>2020.3333333333289</c:v>
                </c:pt>
                <c:pt idx="57">
                  <c:v>2020.4166666666622</c:v>
                </c:pt>
                <c:pt idx="58">
                  <c:v>2020.4999999999955</c:v>
                </c:pt>
                <c:pt idx="59">
                  <c:v>2020.5833333333287</c:v>
                </c:pt>
              </c:numCache>
            </c:numRef>
          </c:xVal>
          <c:yVal>
            <c:numRef>
              <c:f>Skip!$BX$5:$BX$64</c:f>
              <c:numCache>
                <c:formatCode>0.0</c:formatCode>
                <c:ptCount val="60"/>
                <c:pt idx="0">
                  <c:v>47830.5</c:v>
                </c:pt>
                <c:pt idx="1">
                  <c:v>46838</c:v>
                </c:pt>
                <c:pt idx="2">
                  <c:v>51495.7</c:v>
                </c:pt>
                <c:pt idx="3">
                  <c:v>48080.800000000003</c:v>
                </c:pt>
                <c:pt idx="4">
                  <c:v>45877.599999999999</c:v>
                </c:pt>
                <c:pt idx="5">
                  <c:v>42520.5</c:v>
                </c:pt>
                <c:pt idx="6">
                  <c:v>44203.1</c:v>
                </c:pt>
                <c:pt idx="7">
                  <c:v>47222.8</c:v>
                </c:pt>
                <c:pt idx="8">
                  <c:v>46768.7</c:v>
                </c:pt>
                <c:pt idx="9">
                  <c:v>48352.9</c:v>
                </c:pt>
                <c:pt idx="10">
                  <c:v>43861.5</c:v>
                </c:pt>
                <c:pt idx="11">
                  <c:v>40617.4</c:v>
                </c:pt>
                <c:pt idx="12">
                  <c:v>46332.4</c:v>
                </c:pt>
                <c:pt idx="13">
                  <c:v>49157</c:v>
                </c:pt>
                <c:pt idx="14">
                  <c:v>41015.199999999997</c:v>
                </c:pt>
                <c:pt idx="15">
                  <c:v>41515.699999999997</c:v>
                </c:pt>
                <c:pt idx="16">
                  <c:v>37693.599999999999</c:v>
                </c:pt>
                <c:pt idx="17">
                  <c:v>33443.599999999999</c:v>
                </c:pt>
                <c:pt idx="18">
                  <c:v>39625.699999999997</c:v>
                </c:pt>
                <c:pt idx="19">
                  <c:v>41323.5</c:v>
                </c:pt>
                <c:pt idx="20">
                  <c:v>49096.9</c:v>
                </c:pt>
                <c:pt idx="21">
                  <c:v>44976</c:v>
                </c:pt>
                <c:pt idx="22">
                  <c:v>38653.1</c:v>
                </c:pt>
                <c:pt idx="23">
                  <c:v>45161.4</c:v>
                </c:pt>
                <c:pt idx="24">
                  <c:v>44869.2</c:v>
                </c:pt>
                <c:pt idx="25">
                  <c:v>55768.6</c:v>
                </c:pt>
                <c:pt idx="26">
                  <c:v>45789.1</c:v>
                </c:pt>
                <c:pt idx="27">
                  <c:v>43211.7</c:v>
                </c:pt>
                <c:pt idx="28">
                  <c:v>48365.2</c:v>
                </c:pt>
                <c:pt idx="29">
                  <c:v>46196.800000000003</c:v>
                </c:pt>
                <c:pt idx="30">
                  <c:v>45685</c:v>
                </c:pt>
                <c:pt idx="31">
                  <c:v>44121.1</c:v>
                </c:pt>
                <c:pt idx="32">
                  <c:v>52417.3</c:v>
                </c:pt>
                <c:pt idx="33">
                  <c:v>50449.3</c:v>
                </c:pt>
                <c:pt idx="34">
                  <c:v>50469.8</c:v>
                </c:pt>
                <c:pt idx="35">
                  <c:v>47773</c:v>
                </c:pt>
                <c:pt idx="36">
                  <c:v>48786.8</c:v>
                </c:pt>
                <c:pt idx="37">
                  <c:v>60961.4</c:v>
                </c:pt>
                <c:pt idx="38">
                  <c:v>53795.5</c:v>
                </c:pt>
                <c:pt idx="39">
                  <c:v>53081.2</c:v>
                </c:pt>
                <c:pt idx="40">
                  <c:v>76557</c:v>
                </c:pt>
                <c:pt idx="41">
                  <c:v>44705</c:v>
                </c:pt>
                <c:pt idx="42">
                  <c:v>52704.9</c:v>
                </c:pt>
                <c:pt idx="43">
                  <c:v>50232.2</c:v>
                </c:pt>
                <c:pt idx="44">
                  <c:v>63230.5</c:v>
                </c:pt>
                <c:pt idx="45">
                  <c:v>45688.3</c:v>
                </c:pt>
                <c:pt idx="46">
                  <c:v>51508.800000000003</c:v>
                </c:pt>
                <c:pt idx="47">
                  <c:v>45886.400000000001</c:v>
                </c:pt>
                <c:pt idx="48">
                  <c:v>50404.6</c:v>
                </c:pt>
                <c:pt idx="49">
                  <c:v>65051.4</c:v>
                </c:pt>
                <c:pt idx="50">
                  <c:v>52114.1</c:v>
                </c:pt>
                <c:pt idx="51">
                  <c:v>42871.1</c:v>
                </c:pt>
                <c:pt idx="52">
                  <c:v>46755.4</c:v>
                </c:pt>
                <c:pt idx="53">
                  <c:v>46096.2</c:v>
                </c:pt>
                <c:pt idx="54">
                  <c:v>56167.5</c:v>
                </c:pt>
                <c:pt idx="55">
                  <c:v>47267.199999999997</c:v>
                </c:pt>
                <c:pt idx="56">
                  <c:v>52949.1</c:v>
                </c:pt>
                <c:pt idx="57">
                  <c:v>46495.1</c:v>
                </c:pt>
                <c:pt idx="58">
                  <c:v>46768.1</c:v>
                </c:pt>
                <c:pt idx="59">
                  <c:v>44056.6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170-4373-9101-D3EE83451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3985695"/>
        <c:axId val="1060000335"/>
      </c:scatterChart>
      <c:valAx>
        <c:axId val="11839856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60000335"/>
        <c:crosses val="autoZero"/>
        <c:crossBetween val="midCat"/>
      </c:valAx>
      <c:valAx>
        <c:axId val="1060000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183985695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Mælaborð!$D$10:$F$10</c:f>
              <c:strCache>
                <c:ptCount val="3"/>
                <c:pt idx="0">
                  <c:v>Umfang 1</c:v>
                </c:pt>
                <c:pt idx="1">
                  <c:v>Umfang 2</c:v>
                </c:pt>
                <c:pt idx="2">
                  <c:v>Umfang 3</c:v>
                </c:pt>
              </c:strCache>
            </c:strRef>
          </c:cat>
          <c:val>
            <c:numRef>
              <c:f>Mælaborð!$D$37:$F$37</c:f>
              <c:numCache>
                <c:formatCode>0</c:formatCode>
                <c:ptCount val="3"/>
                <c:pt idx="0">
                  <c:v>478010.17703949875</c:v>
                </c:pt>
                <c:pt idx="1">
                  <c:v>23463.731116357594</c:v>
                </c:pt>
                <c:pt idx="2">
                  <c:v>95296.689850771611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82-41A2-A5BD-5FF2A07A2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119551"/>
        <c:axId val="946072575"/>
      </c:barChart>
      <c:catAx>
        <c:axId val="1805119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946072575"/>
        <c:crosses val="autoZero"/>
        <c:auto val="1"/>
        <c:lblAlgn val="ctr"/>
        <c:lblOffset val="100"/>
        <c:noMultiLvlLbl val="0"/>
      </c:catAx>
      <c:valAx>
        <c:axId val="94607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baseline="0">
                    <a:effectLst/>
                  </a:rPr>
                  <a:t>Losun (t CO</a:t>
                </a:r>
                <a:r>
                  <a:rPr lang="en-US" sz="900" b="0" i="0" baseline="-25000">
                    <a:effectLst/>
                  </a:rPr>
                  <a:t>2</a:t>
                </a:r>
                <a:r>
                  <a:rPr lang="en-US" sz="900" b="0" i="0" baseline="0">
                    <a:effectLst/>
                  </a:rPr>
                  <a:t> ígildi)</a:t>
                </a:r>
                <a:endParaRPr lang="is-IS" sz="9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rgbClr val="000000">
                        <a:lumMod val="65000"/>
                        <a:lumOff val="35000"/>
                      </a:srgbClr>
                    </a:solidFill>
                  </a:defRPr>
                </a:pPr>
                <a:endParaRPr lang="is-IS" sz="9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rgbClr val="000000">
                      <a:lumMod val="65000"/>
                      <a:lumOff val="35000"/>
                    </a:srgb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05119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Skip!$M$3</c:f>
          <c:strCache>
            <c:ptCount val="1"/>
            <c:pt idx="0">
              <c:v>Gamla höfnin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Skip!$B$48:$B$59</c15:sqref>
                  </c15:fullRef>
                </c:ext>
              </c:extLst>
              <c:f>(Skip!$B$52,Skip!$B$55,Skip!$B$57,Skip!$B$59)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Skip!$R$9:$R$20</c15:sqref>
                  </c15:fullRef>
                </c:ext>
              </c:extLst>
              <c:f>(Skip!$R$13,Skip!$R$16,Skip!$R$18,Skip!$R$20)</c:f>
              <c:numCache>
                <c:formatCode>#,##0</c:formatCode>
                <c:ptCount val="4"/>
                <c:pt idx="0">
                  <c:v>113</c:v>
                </c:pt>
                <c:pt idx="1">
                  <c:v>48</c:v>
                </c:pt>
                <c:pt idx="2">
                  <c:v>513</c:v>
                </c:pt>
                <c:pt idx="3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8B-43E0-8D8A-84C8D3DE9F4F}"/>
            </c:ext>
          </c:extLst>
        </c:ser>
        <c:ser>
          <c:idx val="1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Skip!$B$48:$B$59</c15:sqref>
                  </c15:fullRef>
                </c:ext>
              </c:extLst>
              <c:f>(Skip!$B$52,Skip!$B$55,Skip!$B$57,Skip!$B$59)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Skip!$R$22:$R$33</c15:sqref>
                  </c15:fullRef>
                </c:ext>
              </c:extLst>
              <c:f>(Skip!$R$26,Skip!$R$29,Skip!$R$31,Skip!$R$33)</c:f>
              <c:numCache>
                <c:formatCode>#,##0</c:formatCode>
                <c:ptCount val="4"/>
                <c:pt idx="0">
                  <c:v>122</c:v>
                </c:pt>
                <c:pt idx="1">
                  <c:v>55</c:v>
                </c:pt>
                <c:pt idx="2">
                  <c:v>356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8B-43E0-8D8A-84C8D3DE9F4F}"/>
            </c:ext>
          </c:extLst>
        </c:ser>
        <c:ser>
          <c:idx val="2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Skip!$B$48:$B$59</c15:sqref>
                  </c15:fullRef>
                </c:ext>
              </c:extLst>
              <c:f>(Skip!$B$52,Skip!$B$55,Skip!$B$57,Skip!$B$59)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Skip!$R$35:$R$46</c15:sqref>
                  </c15:fullRef>
                </c:ext>
              </c:extLst>
              <c:f>(Skip!$R$39,Skip!$R$42,Skip!$R$44,Skip!$R$46)</c:f>
              <c:numCache>
                <c:formatCode>#,##0</c:formatCode>
                <c:ptCount val="4"/>
                <c:pt idx="0">
                  <c:v>123</c:v>
                </c:pt>
                <c:pt idx="1">
                  <c:v>66</c:v>
                </c:pt>
                <c:pt idx="2">
                  <c:v>368</c:v>
                </c:pt>
                <c:pt idx="3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8B-43E0-8D8A-84C8D3DE9F4F}"/>
            </c:ext>
          </c:extLst>
        </c:ser>
        <c:ser>
          <c:idx val="3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Skip!$B$48:$B$59</c15:sqref>
                  </c15:fullRef>
                </c:ext>
              </c:extLst>
              <c:f>(Skip!$B$52,Skip!$B$55,Skip!$B$57,Skip!$B$59)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Skip!$R$48:$R$59</c15:sqref>
                  </c15:fullRef>
                </c:ext>
              </c:extLst>
              <c:f>(Skip!$R$52,Skip!$R$55,Skip!$R$57,Skip!$R$59)</c:f>
              <c:numCache>
                <c:formatCode>#,##0</c:formatCode>
                <c:ptCount val="4"/>
                <c:pt idx="0">
                  <c:v>143</c:v>
                </c:pt>
                <c:pt idx="1">
                  <c:v>66</c:v>
                </c:pt>
                <c:pt idx="2">
                  <c:v>294</c:v>
                </c:pt>
                <c:pt idx="3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8B-43E0-8D8A-84C8D3DE9F4F}"/>
            </c:ext>
          </c:extLst>
        </c:ser>
        <c:ser>
          <c:idx val="4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Flutningaskip</c:v>
              </c:pt>
              <c:pt idx="1">
                <c:v>Farþegaskip</c:v>
              </c:pt>
              <c:pt idx="2">
                <c:v>Fiskiskip</c:v>
              </c:pt>
              <c:pt idx="3">
                <c:v>Önnur skip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Skip!$R$61:$R$72</c15:sqref>
                  </c15:fullRef>
                </c:ext>
              </c:extLst>
              <c:f>(Skip!$R$65,Skip!$R$68,Skip!$R$70,Skip!$R$72)</c:f>
              <c:numCache>
                <c:formatCode>#,##0</c:formatCode>
                <c:ptCount val="4"/>
                <c:pt idx="0">
                  <c:v>153</c:v>
                </c:pt>
                <c:pt idx="1">
                  <c:v>6</c:v>
                </c:pt>
                <c:pt idx="2">
                  <c:v>240</c:v>
                </c:pt>
                <c:pt idx="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8B-43E0-8D8A-84C8D3DE9F4F}"/>
            </c:ext>
          </c:extLst>
        </c:ser>
        <c:ser>
          <c:idx val="5"/>
          <c:order val="5"/>
          <c:tx>
            <c:strRef>
              <c:f>Skip!$A$74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Flutningaskip</c:v>
              </c:pt>
              <c:pt idx="1">
                <c:v>Farþegaskip</c:v>
              </c:pt>
              <c:pt idx="2">
                <c:v>Fiskiskip</c:v>
              </c:pt>
              <c:pt idx="3">
                <c:v>Önnur skip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Skip!$R$74:$R$85</c15:sqref>
                  </c15:fullRef>
                </c:ext>
              </c:extLst>
              <c:f>(Skip!$R$78,Skip!$R$81,Skip!$R$83,Skip!$R$85)</c:f>
              <c:numCache>
                <c:formatCode>#,##0</c:formatCode>
                <c:ptCount val="4"/>
                <c:pt idx="0">
                  <c:v>161</c:v>
                </c:pt>
                <c:pt idx="1">
                  <c:v>25</c:v>
                </c:pt>
                <c:pt idx="2">
                  <c:v>319</c:v>
                </c:pt>
                <c:pt idx="3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55-4CE6-A286-38444BB4A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Fjöldi skipakoma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Skip!$M$3</c:f>
          <c:strCache>
            <c:ptCount val="1"/>
            <c:pt idx="0">
              <c:v>Gamla höfnin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Skip!$P$9:$P$20</c15:sqref>
                  </c15:fullRef>
                </c:ext>
              </c:extLst>
              <c:f>(Skip!$P$13,Skip!$P$16,Skip!$P$18:$P$20)</c:f>
              <c:numCache>
                <c:formatCode>#,##0</c:formatCode>
                <c:ptCount val="5"/>
                <c:pt idx="0">
                  <c:v>1152.226103</c:v>
                </c:pt>
                <c:pt idx="1">
                  <c:v>1457.8159599999999</c:v>
                </c:pt>
                <c:pt idx="2">
                  <c:v>6211.4049999999997</c:v>
                </c:pt>
                <c:pt idx="3">
                  <c:v>4283.5609999999997</c:v>
                </c:pt>
                <c:pt idx="4">
                  <c:v>1178.4461800000001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FA-42F4-B81A-6DD957BF0B1E}"/>
            </c:ext>
          </c:extLst>
        </c:ser>
        <c:ser>
          <c:idx val="1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Skip!$P$22:$P$33</c15:sqref>
                  </c15:fullRef>
                </c:ext>
              </c:extLst>
              <c:f>(Skip!$P$26,Skip!$P$29,Skip!$P$31:$P$33)</c:f>
              <c:numCache>
                <c:formatCode>#,##0</c:formatCode>
                <c:ptCount val="5"/>
                <c:pt idx="0">
                  <c:v>1079.9075969999999</c:v>
                </c:pt>
                <c:pt idx="1">
                  <c:v>1129.7352000000001</c:v>
                </c:pt>
                <c:pt idx="2">
                  <c:v>5805.1783999999998</c:v>
                </c:pt>
                <c:pt idx="3">
                  <c:v>846.87019999999995</c:v>
                </c:pt>
                <c:pt idx="4">
                  <c:v>1179.7946000000002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FA-42F4-B81A-6DD957BF0B1E}"/>
            </c:ext>
          </c:extLst>
        </c:ser>
        <c:ser>
          <c:idx val="2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Skip!$P$35:$P$46</c15:sqref>
                  </c15:fullRef>
                </c:ext>
              </c:extLst>
              <c:f>(Skip!$P$39,Skip!$P$42,Skip!$P$44:$P$46)</c:f>
              <c:numCache>
                <c:formatCode>#,##0</c:formatCode>
                <c:ptCount val="5"/>
                <c:pt idx="0">
                  <c:v>1068.4290959999998</c:v>
                </c:pt>
                <c:pt idx="1">
                  <c:v>2056.6404200000002</c:v>
                </c:pt>
                <c:pt idx="2">
                  <c:v>7564.3499999999995</c:v>
                </c:pt>
                <c:pt idx="3">
                  <c:v>820.54463999999996</c:v>
                </c:pt>
                <c:pt idx="4">
                  <c:v>1299.8464999999999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FA-42F4-B81A-6DD957BF0B1E}"/>
            </c:ext>
          </c:extLst>
        </c:ser>
        <c:ser>
          <c:idx val="3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Skip!$P$48:$P$59</c15:sqref>
                  </c15:fullRef>
                </c:ext>
              </c:extLst>
              <c:f>(Skip!$P$52,Skip!$P$55,Skip!$P$57:$P$59)</c:f>
              <c:numCache>
                <c:formatCode>#,##0</c:formatCode>
                <c:ptCount val="5"/>
                <c:pt idx="0">
                  <c:v>1830.6551888000001</c:v>
                </c:pt>
                <c:pt idx="1">
                  <c:v>2269.7289260000002</c:v>
                </c:pt>
                <c:pt idx="2">
                  <c:v>8151.4780000000001</c:v>
                </c:pt>
                <c:pt idx="3">
                  <c:v>894.36400000000003</c:v>
                </c:pt>
                <c:pt idx="4">
                  <c:v>1067.47156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FA-42F4-B81A-6DD957BF0B1E}"/>
            </c:ext>
          </c:extLst>
        </c:ser>
        <c:ser>
          <c:idx val="4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Flutningaskip</c:v>
              </c:pt>
              <c:pt idx="1">
                <c:v>Farþegaskip</c:v>
              </c:pt>
              <c:pt idx="2">
                <c:v>Fiskiskip</c:v>
              </c:pt>
              <c:pt idx="3">
                <c:v>Hvalaskoðunarskip</c:v>
              </c:pt>
              <c:pt idx="4">
                <c:v>Önnur skip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Skip!$P$61:$P$72</c15:sqref>
                  </c15:fullRef>
                </c:ext>
              </c:extLst>
              <c:f>(Skip!$P$65,Skip!$P$68,Skip!$P$70:$P$72)</c:f>
              <c:numCache>
                <c:formatCode>#,##0</c:formatCode>
                <c:ptCount val="5"/>
                <c:pt idx="0">
                  <c:v>1323.5758699999999</c:v>
                </c:pt>
                <c:pt idx="1">
                  <c:v>553.44195999999999</c:v>
                </c:pt>
                <c:pt idx="2">
                  <c:v>8868.3269999999993</c:v>
                </c:pt>
                <c:pt idx="3">
                  <c:v>350.09008</c:v>
                </c:pt>
                <c:pt idx="4">
                  <c:v>682.5012999999999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FA-42F4-B81A-6DD957BF0B1E}"/>
            </c:ext>
          </c:extLst>
        </c:ser>
        <c:ser>
          <c:idx val="5"/>
          <c:order val="5"/>
          <c:tx>
            <c:strRef>
              <c:f>Skip!$A$74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Flutningaskip</c:v>
              </c:pt>
              <c:pt idx="1">
                <c:v>Farþegaskip</c:v>
              </c:pt>
              <c:pt idx="2">
                <c:v>Fiskiskip</c:v>
              </c:pt>
              <c:pt idx="3">
                <c:v>Hvalaskoðunarskip</c:v>
              </c:pt>
              <c:pt idx="4">
                <c:v>Önnur skip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Skip!$P$74:$P$85</c15:sqref>
                  </c15:fullRef>
                </c:ext>
              </c:extLst>
              <c:f>(Skip!$P$78,Skip!$P$81,Skip!$P$83:$P$85)</c:f>
              <c:numCache>
                <c:formatCode>#,##0</c:formatCode>
                <c:ptCount val="5"/>
                <c:pt idx="0">
                  <c:v>1310.0999999999999</c:v>
                </c:pt>
                <c:pt idx="1">
                  <c:v>1950</c:v>
                </c:pt>
                <c:pt idx="2">
                  <c:v>6160</c:v>
                </c:pt>
                <c:pt idx="3">
                  <c:v>542</c:v>
                </c:pt>
                <c:pt idx="4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A3-495E-92BC-950775611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Losun (tonn</a:t>
                </a:r>
                <a:r>
                  <a:rPr lang="is-IS" baseline="0"/>
                  <a:t> CO</a:t>
                </a:r>
                <a:r>
                  <a:rPr lang="is-IS" baseline="-25000"/>
                  <a:t>2</a:t>
                </a:r>
                <a:r>
                  <a:rPr lang="is-IS" baseline="0"/>
                  <a:t> ígilda)</a:t>
                </a:r>
                <a:endParaRPr lang="is-I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625864464223014"/>
          <c:y val="0.21614902823074666"/>
          <c:w val="9.3331287844683683E-2"/>
          <c:h val="0.508122788585074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Skip!$AD$3</c:f>
          <c:strCache>
            <c:ptCount val="1"/>
            <c:pt idx="0">
              <c:v>Hafnarsvæði Reykjavíkur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Skip!$AG$9:$AG$20</c15:sqref>
                  </c15:fullRef>
                </c:ext>
              </c:extLst>
              <c:f>(Skip!$AG$13,Skip!$AG$16,Skip!$AG$18:$AG$20)</c:f>
              <c:numCache>
                <c:formatCode>#,##0</c:formatCode>
                <c:ptCount val="5"/>
                <c:pt idx="0">
                  <c:v>11406.129335000001</c:v>
                </c:pt>
                <c:pt idx="1">
                  <c:v>14084.51296</c:v>
                </c:pt>
                <c:pt idx="2">
                  <c:v>8275.8826000000008</c:v>
                </c:pt>
                <c:pt idx="3">
                  <c:v>4283.5609999999997</c:v>
                </c:pt>
                <c:pt idx="4">
                  <c:v>1967.3286800000001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C5-403A-A177-DEA09BEA399D}"/>
            </c:ext>
          </c:extLst>
        </c:ser>
        <c:ser>
          <c:idx val="1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Skip!$AG$22:$AG$33</c15:sqref>
                  </c15:fullRef>
                </c:ext>
              </c:extLst>
              <c:f>(Skip!$AG$26,Skip!$AG$29,Skip!$AG$31:$AG$33)</c:f>
              <c:numCache>
                <c:formatCode>#,##0</c:formatCode>
                <c:ptCount val="5"/>
                <c:pt idx="0">
                  <c:v>13624.686374999999</c:v>
                </c:pt>
                <c:pt idx="1">
                  <c:v>11740.4612</c:v>
                </c:pt>
                <c:pt idx="2">
                  <c:v>7908.3365999999996</c:v>
                </c:pt>
                <c:pt idx="3">
                  <c:v>846.87019999999995</c:v>
                </c:pt>
                <c:pt idx="4">
                  <c:v>1832.02028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C5-403A-A177-DEA09BEA399D}"/>
            </c:ext>
          </c:extLst>
        </c:ser>
        <c:ser>
          <c:idx val="2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Skip!$AG$35:$AG$46</c15:sqref>
                  </c15:fullRef>
                </c:ext>
              </c:extLst>
              <c:f>(Skip!$AG$39,Skip!$AG$42,Skip!$AG$44:$AG$46)</c:f>
              <c:numCache>
                <c:formatCode>#,##0</c:formatCode>
                <c:ptCount val="5"/>
                <c:pt idx="0">
                  <c:v>14525.874195999999</c:v>
                </c:pt>
                <c:pt idx="1">
                  <c:v>14498.507973</c:v>
                </c:pt>
                <c:pt idx="2">
                  <c:v>9556.3616000000002</c:v>
                </c:pt>
                <c:pt idx="3">
                  <c:v>820.54463999999996</c:v>
                </c:pt>
                <c:pt idx="4">
                  <c:v>2125.73396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C5-403A-A177-DEA09BEA399D}"/>
            </c:ext>
          </c:extLst>
        </c:ser>
        <c:ser>
          <c:idx val="3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Skip!$AG$48:$AG$59</c15:sqref>
                  </c15:fullRef>
                </c:ext>
              </c:extLst>
              <c:f>(Skip!$AG$52,Skip!$AG$55,Skip!$AG$57:$AG$59)</c:f>
              <c:numCache>
                <c:formatCode>#,##0</c:formatCode>
                <c:ptCount val="5"/>
                <c:pt idx="0">
                  <c:v>19691.6813688</c:v>
                </c:pt>
                <c:pt idx="1">
                  <c:v>19236.403826000002</c:v>
                </c:pt>
                <c:pt idx="2">
                  <c:v>10032.291499999999</c:v>
                </c:pt>
                <c:pt idx="3">
                  <c:v>894.36400000000003</c:v>
                </c:pt>
                <c:pt idx="4">
                  <c:v>1219.0111100000001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C5-403A-A177-DEA09BEA399D}"/>
            </c:ext>
          </c:extLst>
        </c:ser>
        <c:ser>
          <c:idx val="4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Flutningaskip</c:v>
              </c:pt>
              <c:pt idx="1">
                <c:v>Farþegaskip</c:v>
              </c:pt>
              <c:pt idx="2">
                <c:v>Fiskiskip</c:v>
              </c:pt>
              <c:pt idx="3">
                <c:v>Hvalaskoðunarskip</c:v>
              </c:pt>
              <c:pt idx="4">
                <c:v>Önnur skip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Skip!$AG$61:$AG$72</c15:sqref>
                  </c15:fullRef>
                </c:ext>
              </c:extLst>
              <c:f>(Skip!$AG$65,Skip!$AG$68,Skip!$AG$70:$AG$72)</c:f>
              <c:numCache>
                <c:formatCode>#,##0</c:formatCode>
                <c:ptCount val="5"/>
                <c:pt idx="0">
                  <c:v>21826.272494000001</c:v>
                </c:pt>
                <c:pt idx="1">
                  <c:v>874.11160200000006</c:v>
                </c:pt>
                <c:pt idx="2">
                  <c:v>13660.6332</c:v>
                </c:pt>
                <c:pt idx="3">
                  <c:v>350.09008</c:v>
                </c:pt>
                <c:pt idx="4">
                  <c:v>861.18843000000004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C5-403A-A177-DEA09BEA399D}"/>
            </c:ext>
          </c:extLst>
        </c:ser>
        <c:ser>
          <c:idx val="5"/>
          <c:order val="5"/>
          <c:tx>
            <c:strRef>
              <c:f>Skip!$A$74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Flutningaskip</c:v>
              </c:pt>
              <c:pt idx="1">
                <c:v>Farþegaskip</c:v>
              </c:pt>
              <c:pt idx="2">
                <c:v>Fiskiskip</c:v>
              </c:pt>
              <c:pt idx="3">
                <c:v>Hvalaskoðunarskip</c:v>
              </c:pt>
              <c:pt idx="4">
                <c:v>Önnur skip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Skip!$AG$74:$AG$85</c15:sqref>
                  </c15:fullRef>
                </c:ext>
              </c:extLst>
              <c:f>(Skip!$AG$78,Skip!$AG$81,Skip!$AG$83:$AG$85)</c:f>
              <c:numCache>
                <c:formatCode>#,##0</c:formatCode>
                <c:ptCount val="5"/>
                <c:pt idx="0">
                  <c:v>17308.099999999999</c:v>
                </c:pt>
                <c:pt idx="1">
                  <c:v>6830</c:v>
                </c:pt>
                <c:pt idx="2">
                  <c:v>9880</c:v>
                </c:pt>
                <c:pt idx="3">
                  <c:v>542</c:v>
                </c:pt>
                <c:pt idx="4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08-4AC4-9EC8-A972232B8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Losun (tonn</a:t>
                </a:r>
                <a:r>
                  <a:rPr lang="is-IS" baseline="0"/>
                  <a:t> CO</a:t>
                </a:r>
                <a:r>
                  <a:rPr lang="is-IS" baseline="-25000"/>
                  <a:t>2</a:t>
                </a:r>
                <a:r>
                  <a:rPr lang="is-IS" baseline="0"/>
                  <a:t> ígilda)</a:t>
                </a:r>
                <a:endParaRPr lang="is-I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625864464223014"/>
          <c:y val="0.21614902823074666"/>
          <c:w val="9.345566098357104E-2"/>
          <c:h val="0.467953555565138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Skip!$AD$3</c:f>
          <c:strCache>
            <c:ptCount val="1"/>
            <c:pt idx="0">
              <c:v>Hafnarsvæði Reykjavíkur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Skip!$B$48:$B$59</c:f>
              <c:strCache>
                <c:ptCount val="12"/>
                <c:pt idx="0">
                  <c:v>Þurrflutningaskip</c:v>
                </c:pt>
                <c:pt idx="1">
                  <c:v>Gámaskip</c:v>
                </c:pt>
                <c:pt idx="2">
                  <c:v>Almenn flutningaskip</c:v>
                </c:pt>
                <c:pt idx="3">
                  <c:v>Tankskip</c:v>
                </c:pt>
                <c:pt idx="4">
                  <c:v>Flutningaskip</c:v>
                </c:pt>
                <c:pt idx="5">
                  <c:v>RoRo og ferjur</c:v>
                </c:pt>
                <c:pt idx="6">
                  <c:v>Skemmtiferðaskip</c:v>
                </c:pt>
                <c:pt idx="7">
                  <c:v>Farþegaskip</c:v>
                </c:pt>
                <c:pt idx="8">
                  <c:v>Flutninga- og farþegaskip</c:v>
                </c:pt>
                <c:pt idx="9">
                  <c:v>Fiskiskip</c:v>
                </c:pt>
                <c:pt idx="10">
                  <c:v>Hvalaskoðunarskip</c:v>
                </c:pt>
                <c:pt idx="11">
                  <c:v>Önnur skip</c:v>
                </c:pt>
              </c:strCache>
            </c:strRef>
          </c:cat>
          <c:val>
            <c:numRef>
              <c:f>Skip!$AI$9:$AI$20</c:f>
              <c:numCache>
                <c:formatCode>#,##0</c:formatCode>
                <c:ptCount val="12"/>
                <c:pt idx="0">
                  <c:v>3</c:v>
                </c:pt>
                <c:pt idx="1">
                  <c:v>237</c:v>
                </c:pt>
                <c:pt idx="2">
                  <c:v>147</c:v>
                </c:pt>
                <c:pt idx="3">
                  <c:v>112</c:v>
                </c:pt>
                <c:pt idx="4">
                  <c:v>499</c:v>
                </c:pt>
                <c:pt idx="5">
                  <c:v>8</c:v>
                </c:pt>
                <c:pt idx="6">
                  <c:v>102</c:v>
                </c:pt>
                <c:pt idx="7">
                  <c:v>110</c:v>
                </c:pt>
                <c:pt idx="8">
                  <c:v>609</c:v>
                </c:pt>
                <c:pt idx="9">
                  <c:v>583</c:v>
                </c:pt>
                <c:pt idx="10">
                  <c:v>5607</c:v>
                </c:pt>
                <c:pt idx="11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14-4D49-BD6C-6E3C80B0D331}"/>
            </c:ext>
          </c:extLst>
        </c:ser>
        <c:ser>
          <c:idx val="7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Skip!$B$48:$B$59</c:f>
              <c:strCache>
                <c:ptCount val="12"/>
                <c:pt idx="0">
                  <c:v>Þurrflutningaskip</c:v>
                </c:pt>
                <c:pt idx="1">
                  <c:v>Gámaskip</c:v>
                </c:pt>
                <c:pt idx="2">
                  <c:v>Almenn flutningaskip</c:v>
                </c:pt>
                <c:pt idx="3">
                  <c:v>Tankskip</c:v>
                </c:pt>
                <c:pt idx="4">
                  <c:v>Flutningaskip</c:v>
                </c:pt>
                <c:pt idx="5">
                  <c:v>RoRo og ferjur</c:v>
                </c:pt>
                <c:pt idx="6">
                  <c:v>Skemmtiferðaskip</c:v>
                </c:pt>
                <c:pt idx="7">
                  <c:v>Farþegaskip</c:v>
                </c:pt>
                <c:pt idx="8">
                  <c:v>Flutninga- og farþegaskip</c:v>
                </c:pt>
                <c:pt idx="9">
                  <c:v>Fiskiskip</c:v>
                </c:pt>
                <c:pt idx="10">
                  <c:v>Hvalaskoðunarskip</c:v>
                </c:pt>
                <c:pt idx="11">
                  <c:v>Önnur skip</c:v>
                </c:pt>
              </c:strCache>
            </c:strRef>
          </c:cat>
          <c:val>
            <c:numRef>
              <c:f>Skip!$AI$22:$AI$33</c:f>
              <c:numCache>
                <c:formatCode>#,##0</c:formatCode>
                <c:ptCount val="12"/>
                <c:pt idx="0">
                  <c:v>3</c:v>
                </c:pt>
                <c:pt idx="1">
                  <c:v>284</c:v>
                </c:pt>
                <c:pt idx="2">
                  <c:v>182</c:v>
                </c:pt>
                <c:pt idx="3">
                  <c:v>113</c:v>
                </c:pt>
                <c:pt idx="4">
                  <c:v>582</c:v>
                </c:pt>
                <c:pt idx="5">
                  <c:v>6</c:v>
                </c:pt>
                <c:pt idx="6">
                  <c:v>129</c:v>
                </c:pt>
                <c:pt idx="7">
                  <c:v>135</c:v>
                </c:pt>
                <c:pt idx="8">
                  <c:v>717</c:v>
                </c:pt>
                <c:pt idx="9">
                  <c:v>468</c:v>
                </c:pt>
                <c:pt idx="10">
                  <c:v>5375</c:v>
                </c:pt>
                <c:pt idx="1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114-4D49-BD6C-6E3C80B0D331}"/>
            </c:ext>
          </c:extLst>
        </c:ser>
        <c:ser>
          <c:idx val="8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cat>
            <c:strRef>
              <c:f>Skip!$B$48:$B$59</c:f>
              <c:strCache>
                <c:ptCount val="12"/>
                <c:pt idx="0">
                  <c:v>Þurrflutningaskip</c:v>
                </c:pt>
                <c:pt idx="1">
                  <c:v>Gámaskip</c:v>
                </c:pt>
                <c:pt idx="2">
                  <c:v>Almenn flutningaskip</c:v>
                </c:pt>
                <c:pt idx="3">
                  <c:v>Tankskip</c:v>
                </c:pt>
                <c:pt idx="4">
                  <c:v>Flutningaskip</c:v>
                </c:pt>
                <c:pt idx="5">
                  <c:v>RoRo og ferjur</c:v>
                </c:pt>
                <c:pt idx="6">
                  <c:v>Skemmtiferðaskip</c:v>
                </c:pt>
                <c:pt idx="7">
                  <c:v>Farþegaskip</c:v>
                </c:pt>
                <c:pt idx="8">
                  <c:v>Flutninga- og farþegaskip</c:v>
                </c:pt>
                <c:pt idx="9">
                  <c:v>Fiskiskip</c:v>
                </c:pt>
                <c:pt idx="10">
                  <c:v>Hvalaskoðunarskip</c:v>
                </c:pt>
                <c:pt idx="11">
                  <c:v>Önnur skip</c:v>
                </c:pt>
              </c:strCache>
            </c:strRef>
          </c:cat>
          <c:val>
            <c:numRef>
              <c:f>Skip!$AI$35:$AI$46</c:f>
              <c:numCache>
                <c:formatCode>#,##0</c:formatCode>
                <c:ptCount val="12"/>
                <c:pt idx="0">
                  <c:v>2</c:v>
                </c:pt>
                <c:pt idx="1">
                  <c:v>269</c:v>
                </c:pt>
                <c:pt idx="2">
                  <c:v>166</c:v>
                </c:pt>
                <c:pt idx="3">
                  <c:v>121</c:v>
                </c:pt>
                <c:pt idx="4">
                  <c:v>558</c:v>
                </c:pt>
                <c:pt idx="5">
                  <c:v>5</c:v>
                </c:pt>
                <c:pt idx="6">
                  <c:v>145</c:v>
                </c:pt>
                <c:pt idx="7">
                  <c:v>150</c:v>
                </c:pt>
                <c:pt idx="8">
                  <c:v>708</c:v>
                </c:pt>
                <c:pt idx="9">
                  <c:v>446</c:v>
                </c:pt>
                <c:pt idx="10">
                  <c:v>4520</c:v>
                </c:pt>
                <c:pt idx="11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114-4D49-BD6C-6E3C80B0D331}"/>
            </c:ext>
          </c:extLst>
        </c:ser>
        <c:ser>
          <c:idx val="9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Skip!$B$48:$B$59</c:f>
              <c:strCache>
                <c:ptCount val="12"/>
                <c:pt idx="0">
                  <c:v>Þurrflutningaskip</c:v>
                </c:pt>
                <c:pt idx="1">
                  <c:v>Gámaskip</c:v>
                </c:pt>
                <c:pt idx="2">
                  <c:v>Almenn flutningaskip</c:v>
                </c:pt>
                <c:pt idx="3">
                  <c:v>Tankskip</c:v>
                </c:pt>
                <c:pt idx="4">
                  <c:v>Flutningaskip</c:v>
                </c:pt>
                <c:pt idx="5">
                  <c:v>RoRo og ferjur</c:v>
                </c:pt>
                <c:pt idx="6">
                  <c:v>Skemmtiferðaskip</c:v>
                </c:pt>
                <c:pt idx="7">
                  <c:v>Farþegaskip</c:v>
                </c:pt>
                <c:pt idx="8">
                  <c:v>Flutninga- og farþegaskip</c:v>
                </c:pt>
                <c:pt idx="9">
                  <c:v>Fiskiskip</c:v>
                </c:pt>
                <c:pt idx="10">
                  <c:v>Hvalaskoðunarskip</c:v>
                </c:pt>
                <c:pt idx="11">
                  <c:v>Önnur skip</c:v>
                </c:pt>
              </c:strCache>
            </c:strRef>
          </c:cat>
          <c:val>
            <c:numRef>
              <c:f>Skip!$AI$48:$AI$59</c:f>
              <c:numCache>
                <c:formatCode>#,##0</c:formatCode>
                <c:ptCount val="12"/>
                <c:pt idx="0">
                  <c:v>14</c:v>
                </c:pt>
                <c:pt idx="1">
                  <c:v>339</c:v>
                </c:pt>
                <c:pt idx="2">
                  <c:v>124</c:v>
                </c:pt>
                <c:pt idx="3">
                  <c:v>143</c:v>
                </c:pt>
                <c:pt idx="4">
                  <c:v>620</c:v>
                </c:pt>
                <c:pt idx="5">
                  <c:v>10</c:v>
                </c:pt>
                <c:pt idx="6">
                  <c:v>165</c:v>
                </c:pt>
                <c:pt idx="7">
                  <c:v>175</c:v>
                </c:pt>
                <c:pt idx="8">
                  <c:v>795</c:v>
                </c:pt>
                <c:pt idx="9">
                  <c:v>336</c:v>
                </c:pt>
                <c:pt idx="10">
                  <c:v>5542</c:v>
                </c:pt>
                <c:pt idx="1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114-4D49-BD6C-6E3C80B0D331}"/>
            </c:ext>
          </c:extLst>
        </c:ser>
        <c:ser>
          <c:idx val="10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val>
            <c:numRef>
              <c:f>Skip!$AI$61:$AI$72</c:f>
              <c:numCache>
                <c:formatCode>#,##0</c:formatCode>
                <c:ptCount val="12"/>
                <c:pt idx="0">
                  <c:v>0</c:v>
                </c:pt>
                <c:pt idx="1">
                  <c:v>270</c:v>
                </c:pt>
                <c:pt idx="2">
                  <c:v>100</c:v>
                </c:pt>
                <c:pt idx="3">
                  <c:v>152</c:v>
                </c:pt>
                <c:pt idx="4">
                  <c:v>522</c:v>
                </c:pt>
                <c:pt idx="5">
                  <c:v>1</c:v>
                </c:pt>
                <c:pt idx="6">
                  <c:v>7</c:v>
                </c:pt>
                <c:pt idx="7">
                  <c:v>8</c:v>
                </c:pt>
                <c:pt idx="8">
                  <c:v>530</c:v>
                </c:pt>
                <c:pt idx="9">
                  <c:v>293</c:v>
                </c:pt>
                <c:pt idx="10">
                  <c:v>1773</c:v>
                </c:pt>
                <c:pt idx="1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114-4D49-BD6C-6E3C80B0D331}"/>
            </c:ext>
          </c:extLst>
        </c:ser>
        <c:ser>
          <c:idx val="11"/>
          <c:order val="5"/>
          <c:tx>
            <c:strRef>
              <c:f>Skip!$A$74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Skip!$AI$74:$AI$85</c:f>
              <c:numCache>
                <c:formatCode>#,##0</c:formatCode>
                <c:ptCount val="12"/>
                <c:pt idx="0">
                  <c:v>6</c:v>
                </c:pt>
                <c:pt idx="1">
                  <c:v>298</c:v>
                </c:pt>
                <c:pt idx="2">
                  <c:v>109</c:v>
                </c:pt>
                <c:pt idx="3">
                  <c:v>150</c:v>
                </c:pt>
                <c:pt idx="4">
                  <c:v>563</c:v>
                </c:pt>
                <c:pt idx="5">
                  <c:v>1</c:v>
                </c:pt>
                <c:pt idx="6">
                  <c:v>58</c:v>
                </c:pt>
                <c:pt idx="7">
                  <c:v>59</c:v>
                </c:pt>
                <c:pt idx="8">
                  <c:v>622</c:v>
                </c:pt>
                <c:pt idx="9">
                  <c:v>393</c:v>
                </c:pt>
                <c:pt idx="10">
                  <c:v>2383</c:v>
                </c:pt>
                <c:pt idx="1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114-4D49-BD6C-6E3C80B0D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  <c:extLst>
          <c:ext xmlns:c15="http://schemas.microsoft.com/office/drawing/2012/chart" uri="{02D57815-91ED-43cb-92C2-25804820EDAC}">
            <c15:filteredBarSeries>
              <c15:ser>
                <c:idx val="0"/>
                <c:order val="6"/>
                <c:tx>
                  <c:strRef>
                    <c:extLst>
                      <c:ext uri="{02D57815-91ED-43cb-92C2-25804820EDAC}">
                        <c15:formulaRef>
                          <c15:sqref>Skip!$A$9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(Skip!$B$52,Skip!$B$55,Skip!$B$57,Skip!$B$59)</c15:sqref>
                        </c15:formulaRef>
                      </c:ext>
                    </c:extLst>
                    <c:strCache>
                      <c:ptCount val="4"/>
                      <c:pt idx="0">
                        <c:v>Flutningaskip</c:v>
                      </c:pt>
                      <c:pt idx="1">
                        <c:v>Farþegaskip</c:v>
                      </c:pt>
                      <c:pt idx="2">
                        <c:v>Fiskiskip</c:v>
                      </c:pt>
                      <c:pt idx="3">
                        <c:v>Önnur skip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(Skip!$AI$13,Skip!$AI$16,Skip!$AI$18,Skip!$AI$20)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499</c:v>
                      </c:pt>
                      <c:pt idx="1">
                        <c:v>110</c:v>
                      </c:pt>
                      <c:pt idx="2">
                        <c:v>583</c:v>
                      </c:pt>
                      <c:pt idx="3">
                        <c:v>144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114-4D49-BD6C-6E3C80B0D331}"/>
                  </c:ext>
                </c:extLst>
              </c15:ser>
            </c15:filteredBarSeries>
            <c15:filteredBarSeries>
              <c15:ser>
                <c:idx val="1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Skip!$A$22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(Skip!$B$52,Skip!$B$55,Skip!$B$57,Skip!$B$59)</c15:sqref>
                        </c15:formulaRef>
                      </c:ext>
                    </c:extLst>
                    <c:strCache>
                      <c:ptCount val="4"/>
                      <c:pt idx="0">
                        <c:v>Flutningaskip</c:v>
                      </c:pt>
                      <c:pt idx="1">
                        <c:v>Farþegaskip</c:v>
                      </c:pt>
                      <c:pt idx="2">
                        <c:v>Fiskiskip</c:v>
                      </c:pt>
                      <c:pt idx="3">
                        <c:v>Önnur skip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(Skip!$AI$26,Skip!$AI$29,Skip!$AI$31,Skip!$AI$33)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582</c:v>
                      </c:pt>
                      <c:pt idx="1">
                        <c:v>135</c:v>
                      </c:pt>
                      <c:pt idx="2">
                        <c:v>468</c:v>
                      </c:pt>
                      <c:pt idx="3">
                        <c:v>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114-4D49-BD6C-6E3C80B0D331}"/>
                  </c:ext>
                </c:extLst>
              </c15:ser>
            </c15:filteredBarSeries>
            <c15:filteredBarSeries>
              <c15:ser>
                <c:idx val="2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Skip!$A$35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(Skip!$B$52,Skip!$B$55,Skip!$B$57,Skip!$B$59)</c15:sqref>
                        </c15:formulaRef>
                      </c:ext>
                    </c:extLst>
                    <c:strCache>
                      <c:ptCount val="4"/>
                      <c:pt idx="0">
                        <c:v>Flutningaskip</c:v>
                      </c:pt>
                      <c:pt idx="1">
                        <c:v>Farþegaskip</c:v>
                      </c:pt>
                      <c:pt idx="2">
                        <c:v>Fiskiskip</c:v>
                      </c:pt>
                      <c:pt idx="3">
                        <c:v>Önnur skip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(Skip!$AI$39,Skip!$AI$42,Skip!$AI$44,Skip!$AI$46)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558</c:v>
                      </c:pt>
                      <c:pt idx="1">
                        <c:v>150</c:v>
                      </c:pt>
                      <c:pt idx="2">
                        <c:v>446</c:v>
                      </c:pt>
                      <c:pt idx="3">
                        <c:v>141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114-4D49-BD6C-6E3C80B0D331}"/>
                  </c:ext>
                </c:extLst>
              </c15:ser>
            </c15:filteredBarSeries>
            <c15:filteredBarSeries>
              <c15:ser>
                <c:idx val="3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Skip!$A$48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(Skip!$B$52,Skip!$B$55,Skip!$B$57,Skip!$B$59)</c15:sqref>
                        </c15:formulaRef>
                      </c:ext>
                    </c:extLst>
                    <c:strCache>
                      <c:ptCount val="4"/>
                      <c:pt idx="0">
                        <c:v>Flutningaskip</c:v>
                      </c:pt>
                      <c:pt idx="1">
                        <c:v>Farþegaskip</c:v>
                      </c:pt>
                      <c:pt idx="2">
                        <c:v>Fiskiskip</c:v>
                      </c:pt>
                      <c:pt idx="3">
                        <c:v>Önnur skip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(Skip!$AI$52,Skip!$AI$55,Skip!$AI$57,Skip!$AI$59)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620</c:v>
                      </c:pt>
                      <c:pt idx="1">
                        <c:v>175</c:v>
                      </c:pt>
                      <c:pt idx="2">
                        <c:v>336</c:v>
                      </c:pt>
                      <c:pt idx="3">
                        <c:v>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0114-4D49-BD6C-6E3C80B0D331}"/>
                  </c:ext>
                </c:extLst>
              </c15:ser>
            </c15:filteredBarSeries>
            <c15:filteredBarSeries>
              <c15:ser>
                <c:idx val="4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Skip!$A$61</c15:sqref>
                        </c15:formulaRef>
                      </c:ext>
                    </c:extLst>
                    <c:strCache>
                      <c:ptCount val="1"/>
                      <c:pt idx="0">
                        <c:v>2020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(Skip!$AI$65,Skip!$AI$68,Skip!$AI$70,Skip!$AI$72)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522</c:v>
                      </c:pt>
                      <c:pt idx="1">
                        <c:v>8</c:v>
                      </c:pt>
                      <c:pt idx="2">
                        <c:v>293</c:v>
                      </c:pt>
                      <c:pt idx="3">
                        <c:v>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0114-4D49-BD6C-6E3C80B0D331}"/>
                  </c:ext>
                </c:extLst>
              </c15:ser>
            </c15:filteredBarSeries>
            <c15:filteredBarSeries>
              <c15:ser>
                <c:idx val="5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Skip!$A$74</c15:sqref>
                        </c15:formulaRef>
                      </c:ext>
                    </c:extLst>
                    <c:strCache>
                      <c:ptCount val="1"/>
                      <c:pt idx="0">
                        <c:v>2021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(Skip!$AI$78,Skip!$AI$81,Skip!$AI$83,Skip!$AI$85)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563</c:v>
                      </c:pt>
                      <c:pt idx="1">
                        <c:v>59</c:v>
                      </c:pt>
                      <c:pt idx="2">
                        <c:v>393</c:v>
                      </c:pt>
                      <c:pt idx="3">
                        <c:v>78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0114-4D49-BD6C-6E3C80B0D331}"/>
                  </c:ext>
                </c:extLst>
              </c15:ser>
            </c15:filteredBarSeries>
          </c:ext>
        </c:extLst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Fjöldi skipakoma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Skip!$AN$30</c:f>
          <c:strCache>
            <c:ptCount val="1"/>
            <c:pt idx="0">
              <c:v>Breytingar á milli ára</c:v>
            </c:pt>
          </c:strCache>
        </c:strRef>
      </c:tx>
      <c:layout>
        <c:manualLayout>
          <c:xMode val="edge"/>
          <c:yMode val="edge"/>
          <c:x val="0.31473203608016825"/>
          <c:y val="2.22133990523449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7.6192393871832034E-2"/>
          <c:y val="0.11138432953390094"/>
          <c:w val="0.87131076116428263"/>
          <c:h val="0.78088218427926015"/>
        </c:manualLayout>
      </c:layout>
      <c:scatterChart>
        <c:scatterStyle val="lineMarker"/>
        <c:varyColors val="0"/>
        <c:ser>
          <c:idx val="2"/>
          <c:order val="0"/>
          <c:tx>
            <c:strRef>
              <c:f>Skip!$AP$32</c:f>
              <c:strCache>
                <c:ptCount val="1"/>
                <c:pt idx="0">
                  <c:v>Farþegaskip</c:v>
                </c:pt>
              </c:strCache>
            </c:strRef>
          </c:tx>
          <c:xVal>
            <c:numRef>
              <c:f>Skip!$AN$33:$AN$38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Skip!$AP$33:$AP$38</c:f>
              <c:numCache>
                <c:formatCode>0.0%</c:formatCode>
                <c:ptCount val="6"/>
                <c:pt idx="0">
                  <c:v>-0.16642760503377749</c:v>
                </c:pt>
                <c:pt idx="1">
                  <c:v>0.23491809444419443</c:v>
                </c:pt>
                <c:pt idx="2">
                  <c:v>0.32678506380264771</c:v>
                </c:pt>
                <c:pt idx="3">
                  <c:v>-0.95455951071173983</c:v>
                </c:pt>
                <c:pt idx="4">
                  <c:v>6.8136475758618289</c:v>
                </c:pt>
                <c:pt idx="5">
                  <c:v>2.2562225475841875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8F-4DC4-85AB-B83893BBE215}"/>
            </c:ext>
          </c:extLst>
        </c:ser>
        <c:ser>
          <c:idx val="3"/>
          <c:order val="1"/>
          <c:tx>
            <c:strRef>
              <c:f>Skip!$AO$32</c:f>
              <c:strCache>
                <c:ptCount val="1"/>
                <c:pt idx="0">
                  <c:v>Flutningaskip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pPr>
              <a:ln>
                <a:solidFill>
                  <a:srgbClr val="00B050"/>
                </a:solidFill>
              </a:ln>
            </c:spPr>
          </c:marker>
          <c:xVal>
            <c:numRef>
              <c:f>Skip!$AN$33:$AN$38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Skip!$AO$33:$AO$38</c:f>
              <c:numCache>
                <c:formatCode>0.0%</c:formatCode>
                <c:ptCount val="6"/>
                <c:pt idx="0">
                  <c:v>0.19450568855047948</c:v>
                </c:pt>
                <c:pt idx="1">
                  <c:v>6.6143747914344159E-2</c:v>
                </c:pt>
                <c:pt idx="2">
                  <c:v>0.35562797137693192</c:v>
                </c:pt>
                <c:pt idx="3">
                  <c:v>0.1084006533125252</c:v>
                </c:pt>
                <c:pt idx="4">
                  <c:v>-0.20700614341005955</c:v>
                </c:pt>
                <c:pt idx="5">
                  <c:v>1.1260623638643264E-2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8F-4DC4-85AB-B83893BBE215}"/>
            </c:ext>
          </c:extLst>
        </c:ser>
        <c:ser>
          <c:idx val="0"/>
          <c:order val="2"/>
          <c:tx>
            <c:strRef>
              <c:f>Skip!$AQ$32</c:f>
              <c:strCache>
                <c:ptCount val="1"/>
                <c:pt idx="0">
                  <c:v>Farþega- og flutningaskip</c:v>
                </c:pt>
              </c:strCache>
            </c:strRef>
          </c:tx>
          <c:xVal>
            <c:numRef>
              <c:f>Skip!$AN$33:$AN$38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Skip!$AQ$33:$AQ$38</c:f>
              <c:numCache>
                <c:formatCode>0.0%</c:formatCode>
                <c:ptCount val="6"/>
                <c:pt idx="0">
                  <c:v>-4.9231682178763553E-3</c:v>
                </c:pt>
                <c:pt idx="1">
                  <c:v>0.14426230256221947</c:v>
                </c:pt>
                <c:pt idx="2">
                  <c:v>0.34122011514780265</c:v>
                </c:pt>
                <c:pt idx="3">
                  <c:v>-0.41686358364648496</c:v>
                </c:pt>
                <c:pt idx="4">
                  <c:v>6.3334430726805835E-2</c:v>
                </c:pt>
                <c:pt idx="5">
                  <c:v>0.64648418889639214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18F-4DC4-85AB-B83893BBE215}"/>
            </c:ext>
          </c:extLst>
        </c:ser>
        <c:ser>
          <c:idx val="1"/>
          <c:order val="3"/>
          <c:tx>
            <c:strRef>
              <c:f>Skip!$AR$32</c:f>
              <c:strCache>
                <c:ptCount val="1"/>
                <c:pt idx="0">
                  <c:v>Alls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Skip!$AN$33:$AN$38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Skip!$AR$33:$AR$38</c:f>
              <c:numCache>
                <c:formatCode>0.0%</c:formatCode>
                <c:ptCount val="6"/>
                <c:pt idx="0">
                  <c:v>-0.10158177291492375</c:v>
                </c:pt>
                <c:pt idx="1">
                  <c:v>0.15505645364164353</c:v>
                </c:pt>
                <c:pt idx="2">
                  <c:v>0.22989198096049024</c:v>
                </c:pt>
                <c:pt idx="3">
                  <c:v>-0.26435214805447493</c:v>
                </c:pt>
                <c:pt idx="4">
                  <c:v>-5.3555306185965657E-2</c:v>
                </c:pt>
                <c:pt idx="5">
                  <c:v>0.47870787764938799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18F-4DC4-85AB-B83893BBE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464111"/>
        <c:axId val="1036699407"/>
      </c:scatterChart>
      <c:valAx>
        <c:axId val="1040464111"/>
        <c:scaling>
          <c:orientation val="minMax"/>
          <c:max val="2022"/>
          <c:min val="201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36699407"/>
        <c:crosses val="autoZero"/>
        <c:crossBetween val="midCat"/>
        <c:majorUnit val="1"/>
      </c:valAx>
      <c:valAx>
        <c:axId val="1036699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40464111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Skip!$AD$3</c:f>
          <c:strCache>
            <c:ptCount val="1"/>
            <c:pt idx="0">
              <c:v>Hafnarsvæði Reykjavíkur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Skip!$B$48:$B$59</c:f>
              <c:strCache>
                <c:ptCount val="12"/>
                <c:pt idx="0">
                  <c:v>Þurrflutningaskip</c:v>
                </c:pt>
                <c:pt idx="1">
                  <c:v>Gámaskip</c:v>
                </c:pt>
                <c:pt idx="2">
                  <c:v>Almenn flutningaskip</c:v>
                </c:pt>
                <c:pt idx="3">
                  <c:v>Tankskip</c:v>
                </c:pt>
                <c:pt idx="4">
                  <c:v>Flutningaskip</c:v>
                </c:pt>
                <c:pt idx="5">
                  <c:v>RoRo og ferjur</c:v>
                </c:pt>
                <c:pt idx="6">
                  <c:v>Skemmtiferðaskip</c:v>
                </c:pt>
                <c:pt idx="7">
                  <c:v>Farþegaskip</c:v>
                </c:pt>
                <c:pt idx="8">
                  <c:v>Flutninga- og farþegaskip</c:v>
                </c:pt>
                <c:pt idx="9">
                  <c:v>Fiskiskip</c:v>
                </c:pt>
                <c:pt idx="10">
                  <c:v>Hvalaskoðunarskip</c:v>
                </c:pt>
                <c:pt idx="11">
                  <c:v>Önnur skip</c:v>
                </c:pt>
              </c:strCache>
            </c:strRef>
          </c:cat>
          <c:val>
            <c:numRef>
              <c:f>Skip!$AI$9:$AI$20</c:f>
              <c:numCache>
                <c:formatCode>#,##0</c:formatCode>
                <c:ptCount val="12"/>
                <c:pt idx="0">
                  <c:v>3</c:v>
                </c:pt>
                <c:pt idx="1">
                  <c:v>237</c:v>
                </c:pt>
                <c:pt idx="2">
                  <c:v>147</c:v>
                </c:pt>
                <c:pt idx="3">
                  <c:v>112</c:v>
                </c:pt>
                <c:pt idx="4">
                  <c:v>499</c:v>
                </c:pt>
                <c:pt idx="5">
                  <c:v>8</c:v>
                </c:pt>
                <c:pt idx="6">
                  <c:v>102</c:v>
                </c:pt>
                <c:pt idx="7">
                  <c:v>110</c:v>
                </c:pt>
                <c:pt idx="8">
                  <c:v>609</c:v>
                </c:pt>
                <c:pt idx="9">
                  <c:v>583</c:v>
                </c:pt>
                <c:pt idx="10">
                  <c:v>5607</c:v>
                </c:pt>
                <c:pt idx="11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8-44A2-BEFA-A0166DC6DF2B}"/>
            </c:ext>
          </c:extLst>
        </c:ser>
        <c:ser>
          <c:idx val="7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Skip!$B$48:$B$59</c:f>
              <c:strCache>
                <c:ptCount val="12"/>
                <c:pt idx="0">
                  <c:v>Þurrflutningaskip</c:v>
                </c:pt>
                <c:pt idx="1">
                  <c:v>Gámaskip</c:v>
                </c:pt>
                <c:pt idx="2">
                  <c:v>Almenn flutningaskip</c:v>
                </c:pt>
                <c:pt idx="3">
                  <c:v>Tankskip</c:v>
                </c:pt>
                <c:pt idx="4">
                  <c:v>Flutningaskip</c:v>
                </c:pt>
                <c:pt idx="5">
                  <c:v>RoRo og ferjur</c:v>
                </c:pt>
                <c:pt idx="6">
                  <c:v>Skemmtiferðaskip</c:v>
                </c:pt>
                <c:pt idx="7">
                  <c:v>Farþegaskip</c:v>
                </c:pt>
                <c:pt idx="8">
                  <c:v>Flutninga- og farþegaskip</c:v>
                </c:pt>
                <c:pt idx="9">
                  <c:v>Fiskiskip</c:v>
                </c:pt>
                <c:pt idx="10">
                  <c:v>Hvalaskoðunarskip</c:v>
                </c:pt>
                <c:pt idx="11">
                  <c:v>Önnur skip</c:v>
                </c:pt>
              </c:strCache>
            </c:strRef>
          </c:cat>
          <c:val>
            <c:numRef>
              <c:f>Skip!$AI$22:$AI$33</c:f>
              <c:numCache>
                <c:formatCode>#,##0</c:formatCode>
                <c:ptCount val="12"/>
                <c:pt idx="0">
                  <c:v>3</c:v>
                </c:pt>
                <c:pt idx="1">
                  <c:v>284</c:v>
                </c:pt>
                <c:pt idx="2">
                  <c:v>182</c:v>
                </c:pt>
                <c:pt idx="3">
                  <c:v>113</c:v>
                </c:pt>
                <c:pt idx="4">
                  <c:v>582</c:v>
                </c:pt>
                <c:pt idx="5">
                  <c:v>6</c:v>
                </c:pt>
                <c:pt idx="6">
                  <c:v>129</c:v>
                </c:pt>
                <c:pt idx="7">
                  <c:v>135</c:v>
                </c:pt>
                <c:pt idx="8">
                  <c:v>717</c:v>
                </c:pt>
                <c:pt idx="9">
                  <c:v>468</c:v>
                </c:pt>
                <c:pt idx="10">
                  <c:v>5375</c:v>
                </c:pt>
                <c:pt idx="1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D8-44A2-BEFA-A0166DC6DF2B}"/>
            </c:ext>
          </c:extLst>
        </c:ser>
        <c:ser>
          <c:idx val="8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cat>
            <c:strRef>
              <c:f>Skip!$B$48:$B$59</c:f>
              <c:strCache>
                <c:ptCount val="12"/>
                <c:pt idx="0">
                  <c:v>Þurrflutningaskip</c:v>
                </c:pt>
                <c:pt idx="1">
                  <c:v>Gámaskip</c:v>
                </c:pt>
                <c:pt idx="2">
                  <c:v>Almenn flutningaskip</c:v>
                </c:pt>
                <c:pt idx="3">
                  <c:v>Tankskip</c:v>
                </c:pt>
                <c:pt idx="4">
                  <c:v>Flutningaskip</c:v>
                </c:pt>
                <c:pt idx="5">
                  <c:v>RoRo og ferjur</c:v>
                </c:pt>
                <c:pt idx="6">
                  <c:v>Skemmtiferðaskip</c:v>
                </c:pt>
                <c:pt idx="7">
                  <c:v>Farþegaskip</c:v>
                </c:pt>
                <c:pt idx="8">
                  <c:v>Flutninga- og farþegaskip</c:v>
                </c:pt>
                <c:pt idx="9">
                  <c:v>Fiskiskip</c:v>
                </c:pt>
                <c:pt idx="10">
                  <c:v>Hvalaskoðunarskip</c:v>
                </c:pt>
                <c:pt idx="11">
                  <c:v>Önnur skip</c:v>
                </c:pt>
              </c:strCache>
            </c:strRef>
          </c:cat>
          <c:val>
            <c:numRef>
              <c:f>Skip!$AI$35:$AI$46</c:f>
              <c:numCache>
                <c:formatCode>#,##0</c:formatCode>
                <c:ptCount val="12"/>
                <c:pt idx="0">
                  <c:v>2</c:v>
                </c:pt>
                <c:pt idx="1">
                  <c:v>269</c:v>
                </c:pt>
                <c:pt idx="2">
                  <c:v>166</c:v>
                </c:pt>
                <c:pt idx="3">
                  <c:v>121</c:v>
                </c:pt>
                <c:pt idx="4">
                  <c:v>558</c:v>
                </c:pt>
                <c:pt idx="5">
                  <c:v>5</c:v>
                </c:pt>
                <c:pt idx="6">
                  <c:v>145</c:v>
                </c:pt>
                <c:pt idx="7">
                  <c:v>150</c:v>
                </c:pt>
                <c:pt idx="8">
                  <c:v>708</c:v>
                </c:pt>
                <c:pt idx="9">
                  <c:v>446</c:v>
                </c:pt>
                <c:pt idx="10">
                  <c:v>4520</c:v>
                </c:pt>
                <c:pt idx="11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D8-44A2-BEFA-A0166DC6DF2B}"/>
            </c:ext>
          </c:extLst>
        </c:ser>
        <c:ser>
          <c:idx val="9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Skip!$B$48:$B$59</c:f>
              <c:strCache>
                <c:ptCount val="12"/>
                <c:pt idx="0">
                  <c:v>Þurrflutningaskip</c:v>
                </c:pt>
                <c:pt idx="1">
                  <c:v>Gámaskip</c:v>
                </c:pt>
                <c:pt idx="2">
                  <c:v>Almenn flutningaskip</c:v>
                </c:pt>
                <c:pt idx="3">
                  <c:v>Tankskip</c:v>
                </c:pt>
                <c:pt idx="4">
                  <c:v>Flutningaskip</c:v>
                </c:pt>
                <c:pt idx="5">
                  <c:v>RoRo og ferjur</c:v>
                </c:pt>
                <c:pt idx="6">
                  <c:v>Skemmtiferðaskip</c:v>
                </c:pt>
                <c:pt idx="7">
                  <c:v>Farþegaskip</c:v>
                </c:pt>
                <c:pt idx="8">
                  <c:v>Flutninga- og farþegaskip</c:v>
                </c:pt>
                <c:pt idx="9">
                  <c:v>Fiskiskip</c:v>
                </c:pt>
                <c:pt idx="10">
                  <c:v>Hvalaskoðunarskip</c:v>
                </c:pt>
                <c:pt idx="11">
                  <c:v>Önnur skip</c:v>
                </c:pt>
              </c:strCache>
            </c:strRef>
          </c:cat>
          <c:val>
            <c:numRef>
              <c:f>Skip!$AI$48:$AI$59</c:f>
              <c:numCache>
                <c:formatCode>#,##0</c:formatCode>
                <c:ptCount val="12"/>
                <c:pt idx="0">
                  <c:v>14</c:v>
                </c:pt>
                <c:pt idx="1">
                  <c:v>339</c:v>
                </c:pt>
                <c:pt idx="2">
                  <c:v>124</c:v>
                </c:pt>
                <c:pt idx="3">
                  <c:v>143</c:v>
                </c:pt>
                <c:pt idx="4">
                  <c:v>620</c:v>
                </c:pt>
                <c:pt idx="5">
                  <c:v>10</c:v>
                </c:pt>
                <c:pt idx="6">
                  <c:v>165</c:v>
                </c:pt>
                <c:pt idx="7">
                  <c:v>175</c:v>
                </c:pt>
                <c:pt idx="8">
                  <c:v>795</c:v>
                </c:pt>
                <c:pt idx="9">
                  <c:v>336</c:v>
                </c:pt>
                <c:pt idx="10">
                  <c:v>5542</c:v>
                </c:pt>
                <c:pt idx="1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D8-44A2-BEFA-A0166DC6DF2B}"/>
            </c:ext>
          </c:extLst>
        </c:ser>
        <c:ser>
          <c:idx val="10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val>
            <c:numRef>
              <c:f>Skip!$AI$61:$AI$72</c:f>
              <c:numCache>
                <c:formatCode>#,##0</c:formatCode>
                <c:ptCount val="12"/>
                <c:pt idx="0">
                  <c:v>0</c:v>
                </c:pt>
                <c:pt idx="1">
                  <c:v>270</c:v>
                </c:pt>
                <c:pt idx="2">
                  <c:v>100</c:v>
                </c:pt>
                <c:pt idx="3">
                  <c:v>152</c:v>
                </c:pt>
                <c:pt idx="4">
                  <c:v>522</c:v>
                </c:pt>
                <c:pt idx="5">
                  <c:v>1</c:v>
                </c:pt>
                <c:pt idx="6">
                  <c:v>7</c:v>
                </c:pt>
                <c:pt idx="7">
                  <c:v>8</c:v>
                </c:pt>
                <c:pt idx="8">
                  <c:v>530</c:v>
                </c:pt>
                <c:pt idx="9">
                  <c:v>293</c:v>
                </c:pt>
                <c:pt idx="10">
                  <c:v>1773</c:v>
                </c:pt>
                <c:pt idx="1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D8-44A2-BEFA-A0166DC6DF2B}"/>
            </c:ext>
          </c:extLst>
        </c:ser>
        <c:ser>
          <c:idx val="11"/>
          <c:order val="5"/>
          <c:tx>
            <c:strRef>
              <c:f>Skip!$A$74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Skip!$AI$74:$AI$85</c:f>
              <c:numCache>
                <c:formatCode>#,##0</c:formatCode>
                <c:ptCount val="12"/>
                <c:pt idx="0">
                  <c:v>6</c:v>
                </c:pt>
                <c:pt idx="1">
                  <c:v>298</c:v>
                </c:pt>
                <c:pt idx="2">
                  <c:v>109</c:v>
                </c:pt>
                <c:pt idx="3">
                  <c:v>150</c:v>
                </c:pt>
                <c:pt idx="4">
                  <c:v>563</c:v>
                </c:pt>
                <c:pt idx="5">
                  <c:v>1</c:v>
                </c:pt>
                <c:pt idx="6">
                  <c:v>58</c:v>
                </c:pt>
                <c:pt idx="7">
                  <c:v>59</c:v>
                </c:pt>
                <c:pt idx="8">
                  <c:v>622</c:v>
                </c:pt>
                <c:pt idx="9">
                  <c:v>393</c:v>
                </c:pt>
                <c:pt idx="10">
                  <c:v>2383</c:v>
                </c:pt>
                <c:pt idx="1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ED8-44A2-BEFA-A0166DC6D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  <c:extLst>
          <c:ext xmlns:c15="http://schemas.microsoft.com/office/drawing/2012/chart" uri="{02D57815-91ED-43cb-92C2-25804820EDAC}">
            <c15:filteredBarSeries>
              <c15:ser>
                <c:idx val="0"/>
                <c:order val="6"/>
                <c:tx>
                  <c:strRef>
                    <c:extLst>
                      <c:ext uri="{02D57815-91ED-43cb-92C2-25804820EDAC}">
                        <c15:formulaRef>
                          <c15:sqref>Skip!$A$9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(Skip!$B$52,Skip!$B$55,Skip!$B$57,Skip!$B$59)</c15:sqref>
                        </c15:formulaRef>
                      </c:ext>
                    </c:extLst>
                    <c:strCache>
                      <c:ptCount val="4"/>
                      <c:pt idx="0">
                        <c:v>Flutningaskip</c:v>
                      </c:pt>
                      <c:pt idx="1">
                        <c:v>Farþegaskip</c:v>
                      </c:pt>
                      <c:pt idx="2">
                        <c:v>Fiskiskip</c:v>
                      </c:pt>
                      <c:pt idx="3">
                        <c:v>Önnur skip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(Skip!$AI$13,Skip!$AI$16,Skip!$AI$18,Skip!$AI$20)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499</c:v>
                      </c:pt>
                      <c:pt idx="1">
                        <c:v>110</c:v>
                      </c:pt>
                      <c:pt idx="2">
                        <c:v>583</c:v>
                      </c:pt>
                      <c:pt idx="3">
                        <c:v>144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6ED8-44A2-BEFA-A0166DC6DF2B}"/>
                  </c:ext>
                </c:extLst>
              </c15:ser>
            </c15:filteredBarSeries>
            <c15:filteredBarSeries>
              <c15:ser>
                <c:idx val="1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Skip!$A$22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(Skip!$B$52,Skip!$B$55,Skip!$B$57,Skip!$B$59)</c15:sqref>
                        </c15:formulaRef>
                      </c:ext>
                    </c:extLst>
                    <c:strCache>
                      <c:ptCount val="4"/>
                      <c:pt idx="0">
                        <c:v>Flutningaskip</c:v>
                      </c:pt>
                      <c:pt idx="1">
                        <c:v>Farþegaskip</c:v>
                      </c:pt>
                      <c:pt idx="2">
                        <c:v>Fiskiskip</c:v>
                      </c:pt>
                      <c:pt idx="3">
                        <c:v>Önnur skip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(Skip!$AI$26,Skip!$AI$29,Skip!$AI$31,Skip!$AI$33)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582</c:v>
                      </c:pt>
                      <c:pt idx="1">
                        <c:v>135</c:v>
                      </c:pt>
                      <c:pt idx="2">
                        <c:v>468</c:v>
                      </c:pt>
                      <c:pt idx="3">
                        <c:v>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ED8-44A2-BEFA-A0166DC6DF2B}"/>
                  </c:ext>
                </c:extLst>
              </c15:ser>
            </c15:filteredBarSeries>
            <c15:filteredBarSeries>
              <c15:ser>
                <c:idx val="2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Skip!$A$35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(Skip!$B$52,Skip!$B$55,Skip!$B$57,Skip!$B$59)</c15:sqref>
                        </c15:formulaRef>
                      </c:ext>
                    </c:extLst>
                    <c:strCache>
                      <c:ptCount val="4"/>
                      <c:pt idx="0">
                        <c:v>Flutningaskip</c:v>
                      </c:pt>
                      <c:pt idx="1">
                        <c:v>Farþegaskip</c:v>
                      </c:pt>
                      <c:pt idx="2">
                        <c:v>Fiskiskip</c:v>
                      </c:pt>
                      <c:pt idx="3">
                        <c:v>Önnur skip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(Skip!$AI$39,Skip!$AI$42,Skip!$AI$44,Skip!$AI$46)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558</c:v>
                      </c:pt>
                      <c:pt idx="1">
                        <c:v>150</c:v>
                      </c:pt>
                      <c:pt idx="2">
                        <c:v>446</c:v>
                      </c:pt>
                      <c:pt idx="3">
                        <c:v>141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ED8-44A2-BEFA-A0166DC6DF2B}"/>
                  </c:ext>
                </c:extLst>
              </c15:ser>
            </c15:filteredBarSeries>
            <c15:filteredBarSeries>
              <c15:ser>
                <c:idx val="3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Skip!$A$48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(Skip!$B$52,Skip!$B$55,Skip!$B$57,Skip!$B$59)</c15:sqref>
                        </c15:formulaRef>
                      </c:ext>
                    </c:extLst>
                    <c:strCache>
                      <c:ptCount val="4"/>
                      <c:pt idx="0">
                        <c:v>Flutningaskip</c:v>
                      </c:pt>
                      <c:pt idx="1">
                        <c:v>Farþegaskip</c:v>
                      </c:pt>
                      <c:pt idx="2">
                        <c:v>Fiskiskip</c:v>
                      </c:pt>
                      <c:pt idx="3">
                        <c:v>Önnur skip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(Skip!$AI$52,Skip!$AI$55,Skip!$AI$57,Skip!$AI$59)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620</c:v>
                      </c:pt>
                      <c:pt idx="1">
                        <c:v>175</c:v>
                      </c:pt>
                      <c:pt idx="2">
                        <c:v>336</c:v>
                      </c:pt>
                      <c:pt idx="3">
                        <c:v>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ED8-44A2-BEFA-A0166DC6DF2B}"/>
                  </c:ext>
                </c:extLst>
              </c15:ser>
            </c15:filteredBarSeries>
            <c15:filteredBarSeries>
              <c15:ser>
                <c:idx val="4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Skip!$A$61</c15:sqref>
                        </c15:formulaRef>
                      </c:ext>
                    </c:extLst>
                    <c:strCache>
                      <c:ptCount val="1"/>
                      <c:pt idx="0">
                        <c:v>2020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(Skip!$AI$65,Skip!$AI$68,Skip!$AI$70,Skip!$AI$72)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522</c:v>
                      </c:pt>
                      <c:pt idx="1">
                        <c:v>8</c:v>
                      </c:pt>
                      <c:pt idx="2">
                        <c:v>293</c:v>
                      </c:pt>
                      <c:pt idx="3">
                        <c:v>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6ED8-44A2-BEFA-A0166DC6DF2B}"/>
                  </c:ext>
                </c:extLst>
              </c15:ser>
            </c15:filteredBarSeries>
            <c15:filteredBarSeries>
              <c15:ser>
                <c:idx val="5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Skip!$A$74</c15:sqref>
                        </c15:formulaRef>
                      </c:ext>
                    </c:extLst>
                    <c:strCache>
                      <c:ptCount val="1"/>
                      <c:pt idx="0">
                        <c:v>2021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(Skip!$AI$78,Skip!$AI$81,Skip!$AI$83,Skip!$AI$85)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563</c:v>
                      </c:pt>
                      <c:pt idx="1">
                        <c:v>59</c:v>
                      </c:pt>
                      <c:pt idx="2">
                        <c:v>393</c:v>
                      </c:pt>
                      <c:pt idx="3">
                        <c:v>78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6ED8-44A2-BEFA-A0166DC6DF2B}"/>
                  </c:ext>
                </c:extLst>
              </c15:ser>
            </c15:filteredBarSeries>
          </c:ext>
        </c:extLst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Fjöldi skipakoma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Úrgangur!$L$11:$P$11</c:f>
              <c:numCache>
                <c:formatCode>General</c:formatCode>
                <c:ptCount val="5"/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</c:numCache>
            </c:numRef>
          </c:xVal>
          <c:yVal>
            <c:numRef>
              <c:f>Úrgangur!$L$25:$P$25</c:f>
              <c:numCache>
                <c:formatCode>#,##0.000</c:formatCode>
                <c:ptCount val="5"/>
                <c:pt idx="1">
                  <c:v>73573.146873003629</c:v>
                </c:pt>
                <c:pt idx="2">
                  <c:v>107068.79000000001</c:v>
                </c:pt>
                <c:pt idx="3">
                  <c:v>119865.34999999999</c:v>
                </c:pt>
                <c:pt idx="4">
                  <c:v>119197.95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74-49C2-A6F4-8B4ACF5F5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9444944"/>
        <c:axId val="1846947280"/>
      </c:scatterChart>
      <c:valAx>
        <c:axId val="1859444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46947280"/>
        <c:crosses val="autoZero"/>
        <c:crossBetween val="midCat"/>
      </c:valAx>
      <c:valAx>
        <c:axId val="184694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59444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Úrgangur!$R$11:$R$55</c:f>
              <c:numCache>
                <c:formatCode>General</c:formatCode>
                <c:ptCount val="45"/>
                <c:pt idx="0">
                  <c:v>2017</c:v>
                </c:pt>
                <c:pt idx="1">
                  <c:v>2017.0833333333333</c:v>
                </c:pt>
                <c:pt idx="2">
                  <c:v>2017.1666666666665</c:v>
                </c:pt>
                <c:pt idx="3">
                  <c:v>2017.2499999999998</c:v>
                </c:pt>
                <c:pt idx="4">
                  <c:v>2017.333333333333</c:v>
                </c:pt>
                <c:pt idx="5">
                  <c:v>2017.4166666666663</c:v>
                </c:pt>
                <c:pt idx="6">
                  <c:v>2017.4999999999995</c:v>
                </c:pt>
                <c:pt idx="7">
                  <c:v>2017.5833333333328</c:v>
                </c:pt>
                <c:pt idx="8">
                  <c:v>2017.6666666666661</c:v>
                </c:pt>
                <c:pt idx="9">
                  <c:v>2017.7499999999993</c:v>
                </c:pt>
                <c:pt idx="10">
                  <c:v>2017.8333333333326</c:v>
                </c:pt>
                <c:pt idx="11">
                  <c:v>2017.9166666666658</c:v>
                </c:pt>
                <c:pt idx="12">
                  <c:v>2017.9999999999991</c:v>
                </c:pt>
                <c:pt idx="13">
                  <c:v>2018.0833333333323</c:v>
                </c:pt>
                <c:pt idx="14">
                  <c:v>2018.1666666666656</c:v>
                </c:pt>
                <c:pt idx="15">
                  <c:v>2018.2499999999989</c:v>
                </c:pt>
                <c:pt idx="16">
                  <c:v>2018.3333333333321</c:v>
                </c:pt>
                <c:pt idx="17">
                  <c:v>2018.4166666666654</c:v>
                </c:pt>
                <c:pt idx="18">
                  <c:v>2018.4999999999986</c:v>
                </c:pt>
                <c:pt idx="19">
                  <c:v>2018.5833333333319</c:v>
                </c:pt>
                <c:pt idx="20">
                  <c:v>2018.6666666666652</c:v>
                </c:pt>
                <c:pt idx="21">
                  <c:v>2018.7499999999984</c:v>
                </c:pt>
                <c:pt idx="22">
                  <c:v>2018.8333333333317</c:v>
                </c:pt>
                <c:pt idx="23">
                  <c:v>2018.9166666666649</c:v>
                </c:pt>
                <c:pt idx="24">
                  <c:v>2018.9999999999982</c:v>
                </c:pt>
                <c:pt idx="25">
                  <c:v>2019.0833333333314</c:v>
                </c:pt>
                <c:pt idx="26">
                  <c:v>2019.1666666666647</c:v>
                </c:pt>
                <c:pt idx="27">
                  <c:v>2019.249999999998</c:v>
                </c:pt>
                <c:pt idx="28">
                  <c:v>2019.3333333333312</c:v>
                </c:pt>
                <c:pt idx="29">
                  <c:v>2019.4166666666645</c:v>
                </c:pt>
                <c:pt idx="30">
                  <c:v>2019.4999999999977</c:v>
                </c:pt>
                <c:pt idx="31">
                  <c:v>2019.583333333331</c:v>
                </c:pt>
                <c:pt idx="32">
                  <c:v>2019.6666666666642</c:v>
                </c:pt>
                <c:pt idx="33">
                  <c:v>2019.7499999999975</c:v>
                </c:pt>
                <c:pt idx="34">
                  <c:v>2019.8333333333308</c:v>
                </c:pt>
                <c:pt idx="35">
                  <c:v>2019.916666666664</c:v>
                </c:pt>
                <c:pt idx="36">
                  <c:v>2019.9999999999973</c:v>
                </c:pt>
                <c:pt idx="37">
                  <c:v>2020.0833333333305</c:v>
                </c:pt>
                <c:pt idx="38">
                  <c:v>2020.1666666666638</c:v>
                </c:pt>
                <c:pt idx="39">
                  <c:v>2020.249999999997</c:v>
                </c:pt>
                <c:pt idx="40">
                  <c:v>2020.3333333333303</c:v>
                </c:pt>
                <c:pt idx="41">
                  <c:v>2020.4166666666636</c:v>
                </c:pt>
                <c:pt idx="42">
                  <c:v>2020.4999999999968</c:v>
                </c:pt>
                <c:pt idx="43">
                  <c:v>2020.5833333333301</c:v>
                </c:pt>
                <c:pt idx="44">
                  <c:v>2020.6666666666633</c:v>
                </c:pt>
              </c:numCache>
            </c:numRef>
          </c:xVal>
          <c:yVal>
            <c:numRef>
              <c:f>Úrgangur!$S$11:$S$55</c:f>
              <c:numCache>
                <c:formatCode>#,##0</c:formatCode>
                <c:ptCount val="45"/>
                <c:pt idx="0">
                  <c:v>9458.02</c:v>
                </c:pt>
                <c:pt idx="1">
                  <c:v>8619.6</c:v>
                </c:pt>
                <c:pt idx="2">
                  <c:v>9934</c:v>
                </c:pt>
                <c:pt idx="3">
                  <c:v>8256.6</c:v>
                </c:pt>
                <c:pt idx="4">
                  <c:v>10593.52</c:v>
                </c:pt>
                <c:pt idx="5">
                  <c:v>10734.64</c:v>
                </c:pt>
                <c:pt idx="6">
                  <c:v>10589.06</c:v>
                </c:pt>
                <c:pt idx="7">
                  <c:v>11116.02</c:v>
                </c:pt>
                <c:pt idx="8">
                  <c:v>10037.959999999999</c:v>
                </c:pt>
                <c:pt idx="9">
                  <c:v>10419.18</c:v>
                </c:pt>
                <c:pt idx="10">
                  <c:v>10267.51</c:v>
                </c:pt>
                <c:pt idx="11">
                  <c:v>9171.84</c:v>
                </c:pt>
                <c:pt idx="12">
                  <c:v>10796.84</c:v>
                </c:pt>
                <c:pt idx="13">
                  <c:v>9341.42</c:v>
                </c:pt>
                <c:pt idx="14">
                  <c:v>9466.7000000000007</c:v>
                </c:pt>
                <c:pt idx="15">
                  <c:v>9656.73</c:v>
                </c:pt>
                <c:pt idx="16">
                  <c:v>10785.22</c:v>
                </c:pt>
                <c:pt idx="17">
                  <c:v>10218.74</c:v>
                </c:pt>
                <c:pt idx="18">
                  <c:v>10590.94</c:v>
                </c:pt>
                <c:pt idx="19">
                  <c:v>10329.120000000001</c:v>
                </c:pt>
                <c:pt idx="20">
                  <c:v>9486.02</c:v>
                </c:pt>
                <c:pt idx="21">
                  <c:v>10851.76</c:v>
                </c:pt>
                <c:pt idx="22">
                  <c:v>9454.1200000000008</c:v>
                </c:pt>
                <c:pt idx="23">
                  <c:v>8887.74</c:v>
                </c:pt>
                <c:pt idx="24">
                  <c:v>10359.98</c:v>
                </c:pt>
                <c:pt idx="25">
                  <c:v>8657.68</c:v>
                </c:pt>
                <c:pt idx="26">
                  <c:v>8700.56</c:v>
                </c:pt>
                <c:pt idx="27">
                  <c:v>8838.84</c:v>
                </c:pt>
                <c:pt idx="28">
                  <c:v>10672.39</c:v>
                </c:pt>
                <c:pt idx="29">
                  <c:v>8821.0400000000009</c:v>
                </c:pt>
                <c:pt idx="30">
                  <c:v>9611.26</c:v>
                </c:pt>
                <c:pt idx="31">
                  <c:v>8938.94</c:v>
                </c:pt>
                <c:pt idx="32">
                  <c:v>9020.64</c:v>
                </c:pt>
                <c:pt idx="33">
                  <c:v>8615.68</c:v>
                </c:pt>
                <c:pt idx="34">
                  <c:v>7421.58</c:v>
                </c:pt>
                <c:pt idx="35">
                  <c:v>7410.2</c:v>
                </c:pt>
                <c:pt idx="36">
                  <c:v>8379.56</c:v>
                </c:pt>
                <c:pt idx="37">
                  <c:v>6154.64</c:v>
                </c:pt>
                <c:pt idx="38">
                  <c:v>7204.3</c:v>
                </c:pt>
                <c:pt idx="39">
                  <c:v>7158.26</c:v>
                </c:pt>
                <c:pt idx="40">
                  <c:v>6950.12</c:v>
                </c:pt>
                <c:pt idx="41">
                  <c:v>7245.1</c:v>
                </c:pt>
                <c:pt idx="42">
                  <c:v>7600.9</c:v>
                </c:pt>
                <c:pt idx="43">
                  <c:v>6408.64</c:v>
                </c:pt>
                <c:pt idx="44">
                  <c:v>7314.64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69-493B-AB4F-5A9A1E662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0717600"/>
        <c:axId val="1846400352"/>
      </c:scatterChart>
      <c:valAx>
        <c:axId val="1850717600"/>
        <c:scaling>
          <c:orientation val="minMax"/>
          <c:min val="201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46400352"/>
        <c:crosses val="autoZero"/>
        <c:crossBetween val="midCat"/>
      </c:valAx>
      <c:valAx>
        <c:axId val="184640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Magn</a:t>
                </a:r>
                <a:r>
                  <a:rPr lang="is-IS" baseline="0"/>
                  <a:t> (tonn)</a:t>
                </a:r>
                <a:endParaRPr lang="is-I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50717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3"/>
          <c:order val="0"/>
          <c:tx>
            <c:strRef>
              <c:f>Úrgangur!$K$64</c:f>
              <c:strCache>
                <c:ptCount val="1"/>
                <c:pt idx="0">
                  <c:v>2017-18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5"/>
              </a:solidFill>
              <a:ln>
                <a:noFill/>
              </a:ln>
            </c:spPr>
          </c:marker>
          <c:yVal>
            <c:numRef>
              <c:f>Úrgangur!$H$23:$H$34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29-4EA3-BBD5-007A7648BD7E}"/>
            </c:ext>
          </c:extLst>
        </c:ser>
        <c:ser>
          <c:idx val="0"/>
          <c:order val="1"/>
          <c:tx>
            <c:strRef>
              <c:f>Úrgangur!$K$65</c:f>
              <c:strCache>
                <c:ptCount val="1"/>
                <c:pt idx="0">
                  <c:v>2018-19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Úrgangur!$H$36:$H$47</c:f>
              <c:numCache>
                <c:formatCode>0.0%</c:formatCode>
                <c:ptCount val="12"/>
                <c:pt idx="0">
                  <c:v>0.14155394046534048</c:v>
                </c:pt>
                <c:pt idx="1">
                  <c:v>8.3741704951505833E-2</c:v>
                </c:pt>
                <c:pt idx="2">
                  <c:v>-4.7040467082746049E-2</c:v>
                </c:pt>
                <c:pt idx="3">
                  <c:v>0.16957706562023098</c:v>
                </c:pt>
                <c:pt idx="4">
                  <c:v>1.8095968101254249E-2</c:v>
                </c:pt>
                <c:pt idx="5">
                  <c:v>-4.805936668579474E-2</c:v>
                </c:pt>
                <c:pt idx="6">
                  <c:v>1.7754172702780216E-4</c:v>
                </c:pt>
                <c:pt idx="7">
                  <c:v>-7.0789725099451029E-2</c:v>
                </c:pt>
                <c:pt idx="8">
                  <c:v>-5.4985275892711141E-2</c:v>
                </c:pt>
                <c:pt idx="9">
                  <c:v>4.1517662618363434E-2</c:v>
                </c:pt>
                <c:pt idx="10">
                  <c:v>-7.9219791361293965E-2</c:v>
                </c:pt>
                <c:pt idx="11">
                  <c:v>-3.0975245970274269E-2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29-4EA3-BBD5-007A7648BD7E}"/>
            </c:ext>
          </c:extLst>
        </c:ser>
        <c:ser>
          <c:idx val="2"/>
          <c:order val="2"/>
          <c:tx>
            <c:strRef>
              <c:f>Úrgangur!$K$66</c:f>
              <c:strCache>
                <c:ptCount val="1"/>
                <c:pt idx="0">
                  <c:v>2019-20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>
                <a:noFill/>
              </a:ln>
            </c:spPr>
          </c:marker>
          <c:yVal>
            <c:numRef>
              <c:f>Úrgangur!$H$49:$H$60</c:f>
              <c:numCache>
                <c:formatCode>0.0%</c:formatCode>
                <c:ptCount val="12"/>
                <c:pt idx="0">
                  <c:v>-4.046183883432565E-2</c:v>
                </c:pt>
                <c:pt idx="1">
                  <c:v>-7.3194439389300536E-2</c:v>
                </c:pt>
                <c:pt idx="2">
                  <c:v>-8.0929996725363773E-2</c:v>
                </c:pt>
                <c:pt idx="3">
                  <c:v>-8.4696372374499382E-2</c:v>
                </c:pt>
                <c:pt idx="4">
                  <c:v>-1.0461539032119877E-2</c:v>
                </c:pt>
                <c:pt idx="5">
                  <c:v>-0.13677811550151966</c:v>
                </c:pt>
                <c:pt idx="6">
                  <c:v>-9.2501704286871628E-2</c:v>
                </c:pt>
                <c:pt idx="7">
                  <c:v>-0.13458842573229859</c:v>
                </c:pt>
                <c:pt idx="8">
                  <c:v>-4.9059563441780744E-2</c:v>
                </c:pt>
                <c:pt idx="9">
                  <c:v>-0.20605689768295649</c:v>
                </c:pt>
                <c:pt idx="10">
                  <c:v>-0.21498986685170071</c:v>
                </c:pt>
                <c:pt idx="11">
                  <c:v>-0.16624473713227433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629-4EA3-BBD5-007A7648B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5632112"/>
        <c:axId val="1844889088"/>
      </c:scatterChart>
      <c:valAx>
        <c:axId val="1855632112"/>
        <c:scaling>
          <c:orientation val="minMax"/>
          <c:max val="8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Mánuður</a:t>
                </a:r>
              </a:p>
            </c:rich>
          </c:tx>
          <c:overlay val="0"/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44889088"/>
        <c:crosses val="autoZero"/>
        <c:crossBetween val="midCat"/>
      </c:valAx>
      <c:valAx>
        <c:axId val="184488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Breyting</a:t>
                </a:r>
              </a:p>
            </c:rich>
          </c:tx>
          <c:overlay val="0"/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556321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Mælaborð!$C$89</c:f>
          <c:strCache>
            <c:ptCount val="1"/>
            <c:pt idx="0">
              <c:v>Samgöngur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Losun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Reykjavík!$P$118:$U$118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Reykjavík!$P$119:$V$119</c:f>
              <c:numCache>
                <c:formatCode>#,##0</c:formatCode>
                <c:ptCount val="7"/>
                <c:pt idx="0">
                  <c:v>300884.29106317263</c:v>
                </c:pt>
                <c:pt idx="1">
                  <c:v>315302.77045046934</c:v>
                </c:pt>
                <c:pt idx="2">
                  <c:v>330723.0267774213</c:v>
                </c:pt>
                <c:pt idx="3">
                  <c:v>347328.98838310892</c:v>
                </c:pt>
                <c:pt idx="4">
                  <c:v>300449.42679434142</c:v>
                </c:pt>
                <c:pt idx="5">
                  <c:v>318547.78429826914</c:v>
                </c:pt>
                <c:pt idx="6">
                  <c:v>317814.50886027474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8A-442F-BB73-FE00D41D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45015567"/>
        <c:axId val="1764603839"/>
      </c:barChart>
      <c:lineChart>
        <c:grouping val="standard"/>
        <c:varyColors val="0"/>
        <c:ser>
          <c:idx val="1"/>
          <c:order val="1"/>
          <c:tx>
            <c:v>Losun á íbúa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Reykjavík!$P$118:$V$118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Reykjavík!$P$120:$V$120</c:f>
              <c:numCache>
                <c:formatCode>#,##0.00</c:formatCode>
                <c:ptCount val="7"/>
                <c:pt idx="0">
                  <c:v>2.5228002202067028</c:v>
                </c:pt>
                <c:pt idx="1">
                  <c:v>2.6163382411065141</c:v>
                </c:pt>
                <c:pt idx="2">
                  <c:v>2.6857263362927157</c:v>
                </c:pt>
                <c:pt idx="3">
                  <c:v>2.7706524280720242</c:v>
                </c:pt>
                <c:pt idx="4">
                  <c:v>2.3741746421887284</c:v>
                </c:pt>
                <c:pt idx="5">
                  <c:v>2.4768508226286379</c:v>
                </c:pt>
                <c:pt idx="6">
                  <c:v>2.4327876181530241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A-442F-BB73-FE00D41D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127151"/>
        <c:axId val="946072991"/>
      </c:lineChart>
      <c:catAx>
        <c:axId val="945015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764603839"/>
        <c:crosses val="autoZero"/>
        <c:auto val="1"/>
        <c:lblAlgn val="ctr"/>
        <c:lblOffset val="100"/>
        <c:noMultiLvlLbl val="0"/>
      </c:catAx>
      <c:valAx>
        <c:axId val="176460383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baseline="0">
                    <a:effectLst/>
                  </a:rPr>
                  <a:t>Losun (t CO</a:t>
                </a:r>
                <a:r>
                  <a:rPr lang="en-US" sz="900" b="0" i="0" baseline="-25000">
                    <a:effectLst/>
                  </a:rPr>
                  <a:t>2</a:t>
                </a:r>
                <a:r>
                  <a:rPr lang="en-US" sz="900" b="0" i="0" baseline="0">
                    <a:effectLst/>
                  </a:rPr>
                  <a:t> ígildi)</a:t>
                </a:r>
                <a:endParaRPr lang="is-IS" sz="3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945015567"/>
        <c:crosses val="autoZero"/>
        <c:crossBetween val="between"/>
      </c:valAx>
      <c:valAx>
        <c:axId val="946072991"/>
        <c:scaling>
          <c:orientation val="minMax"/>
          <c:min val="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05127151"/>
        <c:crosses val="max"/>
        <c:crossBetween val="between"/>
      </c:valAx>
      <c:catAx>
        <c:axId val="18051271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60729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Basic</a:t>
            </a:r>
          </a:p>
        </c:rich>
      </c:tx>
      <c:layout>
        <c:manualLayout>
          <c:xMode val="edge"/>
          <c:yMode val="edge"/>
          <c:x val="0.46356233595800522"/>
          <c:y val="2.777777777777777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8810367454068241"/>
          <c:y val="0.1875"/>
          <c:w val="0.46388888888888891"/>
          <c:h val="0.773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AA-47D1-B26F-D0B2E6CD2E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AA-47D1-B26F-D0B2E6CD2E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8AA-47D1-B26F-D0B2E6CD2E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115-4838-8F32-906866A1143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30B-4D92-A57F-277424E214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Mælaborð!$B$11:$B$21</c15:sqref>
                  </c15:fullRef>
                </c:ext>
              </c:extLst>
              <c:f>(Mælaborð!$B$11,Mælaborð!$B$17:$B$18,Mælaborð!$B$20:$B$21)</c:f>
              <c:strCache>
                <c:ptCount val="5"/>
                <c:pt idx="0">
                  <c:v>Orkunotkun</c:v>
                </c:pt>
                <c:pt idx="1">
                  <c:v>Götuumferð</c:v>
                </c:pt>
                <c:pt idx="2">
                  <c:v>Skipaumferð</c:v>
                </c:pt>
                <c:pt idx="3">
                  <c:v>Flugumferð</c:v>
                </c:pt>
                <c:pt idx="4">
                  <c:v>Úrgangur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Mælaborð!$C$11:$C$21</c15:sqref>
                  </c15:fullRef>
                </c:ext>
              </c:extLst>
              <c:f>(Mælaborð!$C$11,Mælaborð!$C$17:$C$18,Mælaborð!$C$20:$C$21)</c:f>
              <c:numCache>
                <c:formatCode>0</c:formatCode>
                <c:ptCount val="5"/>
                <c:pt idx="0">
                  <c:v>35457.380559969104</c:v>
                </c:pt>
                <c:pt idx="1">
                  <c:v>263036.99088380265</c:v>
                </c:pt>
                <c:pt idx="2">
                  <c:v>51970</c:v>
                </c:pt>
                <c:pt idx="3">
                  <c:v>6188.7020046428052</c:v>
                </c:pt>
                <c:pt idx="4">
                  <c:v>62797.278812701777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Mælaborð!$C$15</c15:sqref>
                  <c15:spPr xmlns:c15="http://schemas.microsoft.com/office/drawing/2012/chart"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Mælaborð!$C$16</c15:sqref>
                  <c15:spPr xmlns:c15="http://schemas.microsoft.com/office/drawing/2012/chart"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Mælaborð!$C$19</c15:sqref>
                  <c15:spPr xmlns:c15="http://schemas.microsoft.com/office/drawing/2012/chart">
                    <a:solidFill>
                      <a:schemeClr val="accent3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9FB8-4ADA-AAC4-11CAA3728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17629046369204"/>
          <c:y val="0.3153988043161271"/>
          <c:w val="0.23684948840968209"/>
          <c:h val="0.619202026829979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Basic+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4068773080374278"/>
          <c:y val="0.1551458940412086"/>
          <c:w val="0.46038847904175489"/>
          <c:h val="0.7730897832772167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91C-4015-B8EB-9B765B6EF88E}"/>
              </c:ext>
            </c:extLst>
          </c:dPt>
          <c:dPt>
            <c:idx val="1"/>
            <c:bubble3D val="0"/>
            <c:spPr>
              <a:solidFill>
                <a:schemeClr val="tx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91C-4015-B8EB-9B765B6EF88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91C-4015-B8EB-9B765B6EF88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BD8-425A-B42E-E87A0A07A2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Dashboard!$B$11:$B$34</c15:sqref>
                  </c15:fullRef>
                </c:ext>
              </c:extLst>
              <c:f>(Dashboard!$B$11,Dashboard!$B$16,Dashboard!$B$19,Dashboard!$B$21,Dashboard!$B$26:$B$27,Dashboard!$B$30,Dashboard!$B$34)</c:f>
              <c:strCache>
                <c:ptCount val="8"/>
                <c:pt idx="0">
                  <c:v>Energy</c:v>
                </c:pt>
                <c:pt idx="1">
                  <c:v>Transport</c:v>
                </c:pt>
                <c:pt idx="2">
                  <c:v>  WTW</c:v>
                </c:pt>
                <c:pt idx="3">
                  <c:v>Waste</c:v>
                </c:pt>
                <c:pt idx="4">
                  <c:v>Foreign inciniration</c:v>
                </c:pt>
                <c:pt idx="5">
                  <c:v>  Originating within RVK</c:v>
                </c:pt>
                <c:pt idx="6">
                  <c:v>AFOLU</c:v>
                </c:pt>
                <c:pt idx="7">
                  <c:v>Product use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Dashboard!$C$11:$C$34</c15:sqref>
                  </c15:fullRef>
                </c:ext>
              </c:extLst>
              <c:f>(Dashboard!$C$11,Dashboard!$C$16,Dashboard!$C$19,Dashboard!$C$21,Dashboard!$C$26:$C$27,Dashboard!$C$30,Dashboard!$C$34)</c:f>
              <c:numCache>
                <c:formatCode>0</c:formatCode>
                <c:ptCount val="8"/>
                <c:pt idx="0">
                  <c:v>35457.380559969104</c:v>
                </c:pt>
                <c:pt idx="1">
                  <c:v>321195.69288844545</c:v>
                </c:pt>
                <c:pt idx="2">
                  <c:v>64372</c:v>
                </c:pt>
                <c:pt idx="3">
                  <c:v>62797.278812701777</c:v>
                </c:pt>
                <c:pt idx="4">
                  <c:v>3204.377892</c:v>
                </c:pt>
                <c:pt idx="5">
                  <c:v>1800.486758682822</c:v>
                </c:pt>
                <c:pt idx="6">
                  <c:v>47647.738997281536</c:v>
                </c:pt>
                <c:pt idx="7">
                  <c:v>40884.329083100427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Dashboard!$C$18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Dashboard!$C$28</c15:sqref>
                  <c15:spPr xmlns:c15="http://schemas.microsoft.com/office/drawing/2012/chart"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Dashboard!$C$31</c15:sqref>
                  <c15:spPr xmlns:c15="http://schemas.microsoft.com/office/drawing/2012/chart"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Dashboard!$C$32</c15:sqref>
                  <c15:spPr xmlns:c15="http://schemas.microsoft.com/office/drawing/2012/chart">
                    <a:solidFill>
                      <a:schemeClr val="accent1">
                        <a:lumMod val="8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Dashboard!$C$33</c15:sqref>
                  <c15:spPr xmlns:c15="http://schemas.microsoft.com/office/drawing/2012/chart">
                    <a:solidFill>
                      <a:schemeClr val="accent2">
                        <a:lumMod val="8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A-791C-4015-B8EB-9B765B6EF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210854023536039"/>
          <c:y val="0.20006871867035939"/>
          <c:w val="0.29133973203143787"/>
          <c:h val="0.724934554949951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Emissions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Reykjavík!$P$135:$W$135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Reykjavík!$P$136:$W$136</c:f>
              <c:numCache>
                <c:formatCode>#,##0</c:formatCode>
                <c:ptCount val="8"/>
                <c:pt idx="0">
                  <c:v>396374.02742891747</c:v>
                </c:pt>
                <c:pt idx="1">
                  <c:v>411249.90349990857</c:v>
                </c:pt>
                <c:pt idx="2">
                  <c:v>427067.80928704602</c:v>
                </c:pt>
                <c:pt idx="3">
                  <c:v>430735.36651868612</c:v>
                </c:pt>
                <c:pt idx="4">
                  <c:v>402401.83845595689</c:v>
                </c:pt>
                <c:pt idx="5">
                  <c:v>423529.35581207124</c:v>
                </c:pt>
                <c:pt idx="6">
                  <c:v>422344.75363469101</c:v>
                </c:pt>
                <c:pt idx="7">
                  <c:v>419169.78825750481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29-45E4-BE69-492439045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41811855"/>
        <c:axId val="1132602367"/>
      </c:barChart>
      <c:lineChart>
        <c:grouping val="standard"/>
        <c:varyColors val="0"/>
        <c:ser>
          <c:idx val="1"/>
          <c:order val="1"/>
          <c:tx>
            <c:v>Emissions per capita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Reykjavík!$P$135:$W$135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Reykjavík!$P$137:$W$137</c:f>
              <c:numCache>
                <c:formatCode>#,##0.00</c:formatCode>
                <c:ptCount val="8"/>
                <c:pt idx="0">
                  <c:v>3.3234453023402937</c:v>
                </c:pt>
                <c:pt idx="1">
                  <c:v>3.4124941168165144</c:v>
                </c:pt>
                <c:pt idx="2">
                  <c:v>3.4681203602946704</c:v>
                </c:pt>
                <c:pt idx="3">
                  <c:v>3.4359872887578664</c:v>
                </c:pt>
                <c:pt idx="4">
                  <c:v>3.179810495981453</c:v>
                </c:pt>
                <c:pt idx="5">
                  <c:v>3.2931292730897384</c:v>
                </c:pt>
                <c:pt idx="6">
                  <c:v>3.2329395247530659</c:v>
                </c:pt>
                <c:pt idx="7">
                  <c:v>3.1211915907720504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29-45E4-BE69-492439045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8432623"/>
        <c:axId val="3597487"/>
      </c:lineChart>
      <c:catAx>
        <c:axId val="134181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132602367"/>
        <c:crosses val="autoZero"/>
        <c:auto val="1"/>
        <c:lblAlgn val="ctr"/>
        <c:lblOffset val="100"/>
        <c:noMultiLvlLbl val="0"/>
      </c:catAx>
      <c:valAx>
        <c:axId val="113260236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baseline="0">
                    <a:effectLst/>
                  </a:rPr>
                  <a:t>Emissions (t CO</a:t>
                </a:r>
                <a:r>
                  <a:rPr lang="en-US" sz="900" b="0" i="0" baseline="-25000">
                    <a:effectLst/>
                  </a:rPr>
                  <a:t>2</a:t>
                </a:r>
                <a:r>
                  <a:rPr lang="en-US" sz="900" b="0" i="0" baseline="0">
                    <a:effectLst/>
                  </a:rPr>
                  <a:t> eq)</a:t>
                </a:r>
                <a:endParaRPr lang="is-IS" sz="3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341811855"/>
        <c:crosses val="autoZero"/>
        <c:crossBetween val="between"/>
      </c:valAx>
      <c:valAx>
        <c:axId val="3597487"/>
        <c:scaling>
          <c:orientation val="minMax"/>
          <c:min val="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138432623"/>
        <c:crosses val="max"/>
        <c:crossBetween val="between"/>
      </c:valAx>
      <c:catAx>
        <c:axId val="11384326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974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Dashboard!$D$10:$F$10</c:f>
              <c:strCache>
                <c:ptCount val="3"/>
                <c:pt idx="0">
                  <c:v>Scope 1</c:v>
                </c:pt>
                <c:pt idx="1">
                  <c:v>Scope 2</c:v>
                </c:pt>
                <c:pt idx="2">
                  <c:v>Scope 3</c:v>
                </c:pt>
              </c:strCache>
            </c:strRef>
          </c:cat>
          <c:val>
            <c:numRef>
              <c:f>Dashboard!$D$37:$F$37</c:f>
              <c:numCache>
                <c:formatCode>0</c:formatCode>
                <c:ptCount val="3"/>
                <c:pt idx="0">
                  <c:v>479810.66379818157</c:v>
                </c:pt>
                <c:pt idx="1">
                  <c:v>23463.731116357594</c:v>
                </c:pt>
                <c:pt idx="2">
                  <c:v>95296.689850771611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E2-4882-986B-DDF8F6E88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119551"/>
        <c:axId val="946072575"/>
      </c:barChart>
      <c:catAx>
        <c:axId val="1805119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946072575"/>
        <c:crosses val="autoZero"/>
        <c:auto val="1"/>
        <c:lblAlgn val="ctr"/>
        <c:lblOffset val="100"/>
        <c:noMultiLvlLbl val="0"/>
      </c:catAx>
      <c:valAx>
        <c:axId val="94607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baseline="0">
                    <a:effectLst/>
                  </a:rPr>
                  <a:t>Emissions (t CO</a:t>
                </a:r>
                <a:r>
                  <a:rPr lang="en-US" sz="900" b="0" i="0" baseline="-25000">
                    <a:effectLst/>
                  </a:rPr>
                  <a:t>2</a:t>
                </a:r>
                <a:r>
                  <a:rPr lang="en-US" sz="900" b="0" i="0" baseline="0">
                    <a:effectLst/>
                  </a:rPr>
                  <a:t> eq)</a:t>
                </a:r>
                <a:endParaRPr lang="is-IS" sz="9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rgbClr val="000000">
                        <a:lumMod val="65000"/>
                        <a:lumOff val="35000"/>
                      </a:srgbClr>
                    </a:solidFill>
                  </a:defRPr>
                </a:pPr>
                <a:endParaRPr lang="is-IS" sz="9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rgbClr val="000000">
                      <a:lumMod val="65000"/>
                      <a:lumOff val="35000"/>
                    </a:srgb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05119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Emissions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Reykjavík!$P$140:$W$140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Reykjavík!$P$141:$W$141</c:f>
              <c:numCache>
                <c:formatCode>#,##0</c:formatCode>
                <c:ptCount val="8"/>
                <c:pt idx="0">
                  <c:v>486940.59895135305</c:v>
                </c:pt>
                <c:pt idx="1">
                  <c:v>489010.77038443269</c:v>
                </c:pt>
                <c:pt idx="2">
                  <c:v>517368.34812865133</c:v>
                </c:pt>
                <c:pt idx="3">
                  <c:v>519776.0236555888</c:v>
                </c:pt>
                <c:pt idx="4">
                  <c:v>491287.38542259403</c:v>
                </c:pt>
                <c:pt idx="5">
                  <c:v>516636.14628230769</c:v>
                </c:pt>
                <c:pt idx="6">
                  <c:v>508447.66645871405</c:v>
                </c:pt>
                <c:pt idx="7">
                  <c:v>507982.42034149828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8C-4A7A-AEF6-825362F16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45015567"/>
        <c:axId val="1764603839"/>
      </c:barChart>
      <c:lineChart>
        <c:grouping val="standard"/>
        <c:varyColors val="0"/>
        <c:ser>
          <c:idx val="1"/>
          <c:order val="1"/>
          <c:tx>
            <c:v>Emissions per capita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Reykjavík!$P$140:$W$140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Reykjavík!$P$142:$W$142</c:f>
              <c:numCache>
                <c:formatCode>#,##0.00</c:formatCode>
                <c:ptCount val="8"/>
                <c:pt idx="0">
                  <c:v>4.0828115217358931</c:v>
                </c:pt>
                <c:pt idx="1">
                  <c:v>4.0577429022962894</c:v>
                </c:pt>
                <c:pt idx="2">
                  <c:v>4.2014304588126725</c:v>
                </c:pt>
                <c:pt idx="3">
                  <c:v>4.1462669404561963</c:v>
                </c:pt>
                <c:pt idx="4">
                  <c:v>3.8821909728452537</c:v>
                </c:pt>
                <c:pt idx="5">
                  <c:v>4.0170760149467979</c:v>
                </c:pt>
                <c:pt idx="6">
                  <c:v>3.8920349856757914</c:v>
                </c:pt>
                <c:pt idx="7">
                  <c:v>3.782501752382748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8C-4A7A-AEF6-825362F16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127151"/>
        <c:axId val="946072991"/>
      </c:lineChart>
      <c:catAx>
        <c:axId val="945015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764603839"/>
        <c:crosses val="autoZero"/>
        <c:auto val="1"/>
        <c:lblAlgn val="ctr"/>
        <c:lblOffset val="100"/>
        <c:noMultiLvlLbl val="0"/>
      </c:catAx>
      <c:valAx>
        <c:axId val="176460383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baseline="0">
                    <a:effectLst/>
                  </a:rPr>
                  <a:t>Emissions (t CO</a:t>
                </a:r>
                <a:r>
                  <a:rPr lang="en-US" sz="900" b="0" i="0" baseline="-25000">
                    <a:effectLst/>
                  </a:rPr>
                  <a:t>2</a:t>
                </a:r>
                <a:r>
                  <a:rPr lang="en-US" sz="900" b="0" i="0" baseline="0">
                    <a:effectLst/>
                  </a:rPr>
                  <a:t> eq)</a:t>
                </a:r>
                <a:endParaRPr lang="is-IS" sz="3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945015567"/>
        <c:crosses val="autoZero"/>
        <c:crossBetween val="between"/>
      </c:valAx>
      <c:valAx>
        <c:axId val="946072991"/>
        <c:scaling>
          <c:orientation val="minMax"/>
          <c:min val="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05127151"/>
        <c:crosses val="max"/>
        <c:crossBetween val="between"/>
      </c:valAx>
      <c:catAx>
        <c:axId val="18051271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60729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waterfall" uniqueId="{FCE4B8D1-B7C9-451A-AC32-7F6795A66DEF}">
          <cx:dataLabels pos="outEnd">
            <cx:numFmt formatCode="#.##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  <cx:visibility seriesName="0" categoryName="0" value="1"/>
            <cx:separator>, </cx:separator>
          </cx:dataLabels>
          <cx:dataId val="0"/>
          <cx:layoutPr>
            <cx:visibility connectorLines="0"/>
            <cx:subtotals>
              <cx:idx val="13"/>
              <cx:idx val="14"/>
              <cx:idx val="15"/>
            </cx:subtotals>
          </cx:layoutPr>
        </cx:series>
      </cx:plotAreaRegion>
      <cx:axis id="0">
        <cx:catScaling gapWidth="0.550000012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  <cx:axis id="1">
        <cx:val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/>
                </a:pPr>
                <a:r>
                  <a:rPr lang="en-US" sz="900" b="0" i="0" u="none" strike="noStrike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  <a:latin typeface="Arial"/>
                    <a:cs typeface="Arial"/>
                  </a:rPr>
                  <a:t>Losun (t CO</a:t>
                </a:r>
                <a:r>
                  <a:rPr lang="en-US" sz="900" b="0" i="0" u="none" strike="noStrike" baseline="-25000">
                    <a:solidFill>
                      <a:srgbClr val="000000">
                        <a:lumMod val="65000"/>
                        <a:lumOff val="35000"/>
                      </a:srgbClr>
                    </a:solidFill>
                    <a:latin typeface="Arial"/>
                    <a:cs typeface="Arial"/>
                  </a:rPr>
                  <a:t>2</a:t>
                </a:r>
                <a:r>
                  <a:rPr lang="en-US" sz="900" b="0" i="0" u="none" strike="noStrike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  <a:latin typeface="Arial"/>
                    <a:cs typeface="Arial"/>
                  </a:rPr>
                  <a:t> ígildi)</a:t>
                </a:r>
              </a:p>
            </cx:rich>
          </cx:tx>
        </cx:title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</cx:chart>
  <cx:spPr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plotArea>
      <cx:plotAreaRegion>
        <cx:series layoutId="waterfall" uniqueId="{537A57F2-055B-4DFA-A023-676D9FD1AD4A}">
          <cx:dataLabels pos="outEnd">
            <cx:visibility seriesName="0" categoryName="0" value="1"/>
          </cx:dataLabels>
          <cx:dataId val="0"/>
          <cx:layoutPr>
            <cx:visibility connectorLines="0"/>
            <cx:subtotals>
              <cx:idx val="13"/>
              <cx:idx val="14"/>
              <cx:idx val="15"/>
            </cx:subtotals>
          </cx:layoutPr>
        </cx:series>
      </cx:plotAreaRegion>
      <cx:axis id="0">
        <cx:catScaling gapWidth="0.5"/>
        <cx:tickLabels/>
      </cx:axis>
      <cx:axis id="1">
        <cx:val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rtl="0"/>
                <a:r>
                  <a:rPr lang="en-US" sz="900" b="0" i="0" baseline="0">
                    <a:effectLst/>
                    <a:latin typeface="+mj-lt"/>
                  </a:rPr>
                  <a:t>Emissions (t CO</a:t>
                </a:r>
                <a:r>
                  <a:rPr lang="en-US" sz="900" b="0" i="0" baseline="-25000">
                    <a:effectLst/>
                    <a:latin typeface="+mj-lt"/>
                  </a:rPr>
                  <a:t>2</a:t>
                </a:r>
                <a:r>
                  <a:rPr lang="en-US" sz="900" b="0" i="0" baseline="0">
                    <a:effectLst/>
                    <a:latin typeface="+mj-lt"/>
                  </a:rPr>
                  <a:t> eq)</a:t>
                </a:r>
                <a:endParaRPr lang="is-IS" sz="900">
                  <a:effectLst/>
                  <a:latin typeface="+mj-lt"/>
                </a:endParaRPr>
              </a:p>
            </cx:rich>
          </cx:tx>
        </cx:title>
        <cx:majorGridlines/>
        <cx:tickLabels/>
      </cx:axis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4" Type="http://schemas.openxmlformats.org/officeDocument/2006/relationships/image" Target="../media/image1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4" Type="http://schemas.openxmlformats.org/officeDocument/2006/relationships/image" Target="../media/image1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2.xml"/><Relationship Id="rId7" Type="http://schemas.openxmlformats.org/officeDocument/2006/relationships/image" Target="../media/image3.png"/><Relationship Id="rId2" Type="http://schemas.microsoft.com/office/2014/relationships/chartEx" Target="../charts/chartEx1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microsoft.com/office/2014/relationships/chartEx" Target="../charts/chartEx2.xml"/><Relationship Id="rId3" Type="http://schemas.openxmlformats.org/officeDocument/2006/relationships/chart" Target="../charts/chart8.xml"/><Relationship Id="rId7" Type="http://schemas.openxmlformats.org/officeDocument/2006/relationships/image" Target="../media/image4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image" Target="../media/image3.png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3" Type="http://schemas.openxmlformats.org/officeDocument/2006/relationships/chart" Target="../charts/chart26.xml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5" Type="http://schemas.openxmlformats.org/officeDocument/2006/relationships/chart" Target="../charts/chart28.xml"/><Relationship Id="rId10" Type="http://schemas.openxmlformats.org/officeDocument/2006/relationships/chart" Target="../charts/chart33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7</xdr:row>
      <xdr:rowOff>122465</xdr:rowOff>
    </xdr:from>
    <xdr:to>
      <xdr:col>33</xdr:col>
      <xdr:colOff>163448</xdr:colOff>
      <xdr:row>61</xdr:row>
      <xdr:rowOff>46464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06217C-5C00-45FB-B6F7-AAB3ED4B1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2927" y="1655758"/>
          <a:ext cx="9827838" cy="9797474"/>
        </a:xfrm>
        <a:prstGeom prst="rect">
          <a:avLst/>
        </a:prstGeom>
      </xdr:spPr>
    </xdr:pic>
    <xdr:clientData/>
  </xdr:twoCellAnchor>
  <xdr:twoCellAnchor editAs="oneCell">
    <xdr:from>
      <xdr:col>33</xdr:col>
      <xdr:colOff>446745</xdr:colOff>
      <xdr:row>8</xdr:row>
      <xdr:rowOff>23232</xdr:rowOff>
    </xdr:from>
    <xdr:to>
      <xdr:col>49</xdr:col>
      <xdr:colOff>209683</xdr:colOff>
      <xdr:row>60</xdr:row>
      <xdr:rowOff>46463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297903-1735-4787-8C5E-11D35EDFE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25695" y="1756782"/>
          <a:ext cx="9516538" cy="97101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444053</xdr:colOff>
      <xdr:row>26</xdr:row>
      <xdr:rowOff>63857</xdr:rowOff>
    </xdr:from>
    <xdr:to>
      <xdr:col>16</xdr:col>
      <xdr:colOff>280384</xdr:colOff>
      <xdr:row>40</xdr:row>
      <xdr:rowOff>150789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897B76-3C06-47C7-8E2E-216C733C1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470884</xdr:colOff>
      <xdr:row>42</xdr:row>
      <xdr:rowOff>37027</xdr:rowOff>
    </xdr:from>
    <xdr:to>
      <xdr:col>16</xdr:col>
      <xdr:colOff>307215</xdr:colOff>
      <xdr:row>56</xdr:row>
      <xdr:rowOff>123959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FE99071-0CB7-4832-B09B-AB379F36E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524546</xdr:colOff>
      <xdr:row>57</xdr:row>
      <xdr:rowOff>90689</xdr:rowOff>
    </xdr:from>
    <xdr:to>
      <xdr:col>16</xdr:col>
      <xdr:colOff>360877</xdr:colOff>
      <xdr:row>71</xdr:row>
      <xdr:rowOff>177621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E8C7510-1BEF-4137-A451-19EAF8E31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48</xdr:col>
      <xdr:colOff>0</xdr:colOff>
      <xdr:row>5</xdr:row>
      <xdr:rowOff>0</xdr:rowOff>
    </xdr:from>
    <xdr:to>
      <xdr:col>72</xdr:col>
      <xdr:colOff>239356</xdr:colOff>
      <xdr:row>28</xdr:row>
      <xdr:rowOff>28012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B393A50-7676-ADB5-E97B-445A17981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451425" y="1209675"/>
          <a:ext cx="15552381" cy="450476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295275</xdr:colOff>
      <xdr:row>0</xdr:row>
      <xdr:rowOff>138112</xdr:rowOff>
    </xdr:from>
    <xdr:to>
      <xdr:col>29</xdr:col>
      <xdr:colOff>465535</xdr:colOff>
      <xdr:row>9</xdr:row>
      <xdr:rowOff>134735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BCB341-83E7-46B1-9A51-AB00C660E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58213" y="138112"/>
          <a:ext cx="9623823" cy="1666673"/>
        </a:xfrm>
        <a:prstGeom prst="rect">
          <a:avLst/>
        </a:prstGeom>
      </xdr:spPr>
    </xdr:pic>
    <xdr:clientData/>
  </xdr:twoCellAnchor>
  <xdr:twoCellAnchor editAs="oneCell">
    <xdr:from>
      <xdr:col>29</xdr:col>
      <xdr:colOff>404813</xdr:colOff>
      <xdr:row>0</xdr:row>
      <xdr:rowOff>138113</xdr:rowOff>
    </xdr:from>
    <xdr:to>
      <xdr:col>37</xdr:col>
      <xdr:colOff>370869</xdr:colOff>
      <xdr:row>9</xdr:row>
      <xdr:rowOff>10926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546227-1E19-4E86-8DDE-3F057EEB3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121313" y="138113"/>
          <a:ext cx="4919056" cy="1542863"/>
        </a:xfrm>
        <a:prstGeom prst="rect">
          <a:avLst/>
        </a:prstGeom>
      </xdr:spPr>
    </xdr:pic>
    <xdr:clientData/>
  </xdr:twoCellAnchor>
  <xdr:twoCellAnchor editAs="oneCell">
    <xdr:from>
      <xdr:col>17</xdr:col>
      <xdr:colOff>309564</xdr:colOff>
      <xdr:row>10</xdr:row>
      <xdr:rowOff>161924</xdr:rowOff>
    </xdr:from>
    <xdr:to>
      <xdr:col>32</xdr:col>
      <xdr:colOff>256021</xdr:colOff>
      <xdr:row>49</xdr:row>
      <xdr:rowOff>123040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30C124-9F7F-4EBB-BE75-B9A348D43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01314" y="1995487"/>
          <a:ext cx="9328582" cy="6461928"/>
        </a:xfrm>
        <a:prstGeom prst="rect">
          <a:avLst/>
        </a:prstGeom>
      </xdr:spPr>
    </xdr:pic>
    <xdr:clientData/>
  </xdr:twoCellAnchor>
  <xdr:twoCellAnchor editAs="oneCell">
    <xdr:from>
      <xdr:col>17</xdr:col>
      <xdr:colOff>504825</xdr:colOff>
      <xdr:row>50</xdr:row>
      <xdr:rowOff>128587</xdr:rowOff>
    </xdr:from>
    <xdr:to>
      <xdr:col>32</xdr:col>
      <xdr:colOff>17953</xdr:colOff>
      <xdr:row>89</xdr:row>
      <xdr:rowOff>55969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0F304C-7492-4359-BD1E-14BEF1001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96575" y="8629650"/>
          <a:ext cx="8895253" cy="66428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331981</xdr:colOff>
      <xdr:row>73</xdr:row>
      <xdr:rowOff>180067</xdr:rowOff>
    </xdr:from>
    <xdr:to>
      <xdr:col>43</xdr:col>
      <xdr:colOff>37645</xdr:colOff>
      <xdr:row>92</xdr:row>
      <xdr:rowOff>67734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F27D5D-3AA5-DB78-7FA4-20E637AAC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92624" y="13828031"/>
          <a:ext cx="8662339" cy="341191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133351</xdr:colOff>
      <xdr:row>3</xdr:row>
      <xdr:rowOff>0</xdr:rowOff>
    </xdr:from>
    <xdr:to>
      <xdr:col>20</xdr:col>
      <xdr:colOff>592138</xdr:colOff>
      <xdr:row>18</xdr:row>
      <xdr:rowOff>33337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BB4D37E-D6B3-44FB-9D94-4476D969BDBC}"/>
            </a:ext>
          </a:extLst>
        </xdr:cNvPr>
        <xdr:cNvSpPr txBox="1"/>
      </xdr:nvSpPr>
      <xdr:spPr>
        <a:xfrm>
          <a:off x="4600576" y="495300"/>
          <a:ext cx="8755062" cy="25098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s-I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is-IS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Aðferðafræðin sem er notuð til að skilgreina eigin virðiskeðju og mengunarþætti hennar byggist á The Greenhouse Gas Protocol.</a:t>
          </a:r>
        </a:p>
        <a:p>
          <a:endParaRPr lang="is-I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is-IS" sz="1000" b="0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Umfang 1 </a:t>
          </a:r>
          <a:r>
            <a:rPr lang="is-I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tekur til beinnar losunar frá samgöngum, meðhöndlun úrgangs, landnotkun, búfjárræktun, efnanotkunar og iðnaðar. </a:t>
          </a:r>
        </a:p>
        <a:p>
          <a:r>
            <a:rPr lang="is-IS" sz="1000" b="0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Umfang 2 </a:t>
          </a:r>
          <a:r>
            <a:rPr lang="is-I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tekur til óbeinnar losunar þeirrar orku sem notuð er innan borgarmarka.</a:t>
          </a:r>
        </a:p>
        <a:p>
          <a:r>
            <a:rPr lang="is-IS" sz="1000" b="0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Umfang 3 </a:t>
          </a:r>
          <a:r>
            <a:rPr lang="is-I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er öll önnur óbein losun sem á sér stað utan borgarmarka vegna starfsemi innan hennar, til dæmis vegna vara og þjónustu til borgarinnar.</a:t>
          </a:r>
          <a:endParaRPr lang="is-I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is-IS" sz="10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535459</xdr:colOff>
      <xdr:row>82</xdr:row>
      <xdr:rowOff>122238</xdr:rowOff>
    </xdr:from>
    <xdr:to>
      <xdr:col>10</xdr:col>
      <xdr:colOff>393517</xdr:colOff>
      <xdr:row>99</xdr:row>
      <xdr:rowOff>8218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2501AC6-619F-41A6-A3A6-3BB9EBFDE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438896</xdr:colOff>
      <xdr:row>4</xdr:row>
      <xdr:rowOff>123007</xdr:rowOff>
    </xdr:from>
    <xdr:to>
      <xdr:col>20</xdr:col>
      <xdr:colOff>170328</xdr:colOff>
      <xdr:row>49</xdr:row>
      <xdr:rowOff>20482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083EF5AC-BCDA-4981-9461-3FD01F17D4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534896" y="878657"/>
              <a:ext cx="10542307" cy="7619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s-I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0</xdr:col>
      <xdr:colOff>615950</xdr:colOff>
      <xdr:row>65</xdr:row>
      <xdr:rowOff>63500</xdr:rowOff>
    </xdr:from>
    <xdr:to>
      <xdr:col>4</xdr:col>
      <xdr:colOff>1035050</xdr:colOff>
      <xdr:row>86</xdr:row>
      <xdr:rowOff>31750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12D4A4F-32FF-46C2-BFA9-ED3C995DE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186766</xdr:colOff>
      <xdr:row>63</xdr:row>
      <xdr:rowOff>31937</xdr:rowOff>
    </xdr:from>
    <xdr:to>
      <xdr:col>20</xdr:col>
      <xdr:colOff>236071</xdr:colOff>
      <xdr:row>75</xdr:row>
      <xdr:rowOff>139513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8AAACB5-D1A9-46C6-8F74-5596E38451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38100</xdr:colOff>
      <xdr:row>90</xdr:row>
      <xdr:rowOff>25400</xdr:rowOff>
    </xdr:from>
    <xdr:to>
      <xdr:col>4</xdr:col>
      <xdr:colOff>1003300</xdr:colOff>
      <xdr:row>110</xdr:row>
      <xdr:rowOff>50800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44C3791-3DF2-49EE-BC8E-B70DDEC5E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436657</xdr:colOff>
      <xdr:row>62</xdr:row>
      <xdr:rowOff>9525</xdr:rowOff>
    </xdr:from>
    <xdr:to>
      <xdr:col>10</xdr:col>
      <xdr:colOff>266141</xdr:colOff>
      <xdr:row>78</xdr:row>
      <xdr:rowOff>47625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8D1CEBC-1624-4505-BBFB-895A13BA7F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590743</xdr:colOff>
      <xdr:row>2</xdr:row>
      <xdr:rowOff>122431</xdr:rowOff>
    </xdr:from>
    <xdr:to>
      <xdr:col>1</xdr:col>
      <xdr:colOff>1457155</xdr:colOff>
      <xdr:row>4</xdr:row>
      <xdr:rowOff>152303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AE9AD22-E384-46EA-A7E3-FA46DCCC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743" y="449552"/>
          <a:ext cx="1454303" cy="450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1825626</xdr:colOff>
      <xdr:row>0</xdr:row>
      <xdr:rowOff>88515</xdr:rowOff>
    </xdr:from>
    <xdr:to>
      <xdr:col>2</xdr:col>
      <xdr:colOff>410414</xdr:colOff>
      <xdr:row>6</xdr:row>
      <xdr:rowOff>152401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9C7DC62-0061-4FC7-B1CE-8A06A892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437" y="88515"/>
          <a:ext cx="841414" cy="1147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535459</xdr:colOff>
      <xdr:row>82</xdr:row>
      <xdr:rowOff>122238</xdr:rowOff>
    </xdr:from>
    <xdr:to>
      <xdr:col>10</xdr:col>
      <xdr:colOff>393517</xdr:colOff>
      <xdr:row>99</xdr:row>
      <xdr:rowOff>8218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1AF498-9053-4B0F-8CAC-2537C365A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</xdr:colOff>
      <xdr:row>65</xdr:row>
      <xdr:rowOff>55469</xdr:rowOff>
    </xdr:from>
    <xdr:to>
      <xdr:col>5</xdr:col>
      <xdr:colOff>4482</xdr:colOff>
      <xdr:row>86</xdr:row>
      <xdr:rowOff>17369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A2D89A0-F26C-4668-800A-1EF33C7F4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220103</xdr:colOff>
      <xdr:row>64</xdr:row>
      <xdr:rowOff>77181</xdr:rowOff>
    </xdr:from>
    <xdr:to>
      <xdr:col>20</xdr:col>
      <xdr:colOff>305127</xdr:colOff>
      <xdr:row>77</xdr:row>
      <xdr:rowOff>10925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E9024E1-21C6-463E-9E56-F91EF3563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38100</xdr:colOff>
      <xdr:row>90</xdr:row>
      <xdr:rowOff>25400</xdr:rowOff>
    </xdr:from>
    <xdr:to>
      <xdr:col>4</xdr:col>
      <xdr:colOff>1003300</xdr:colOff>
      <xdr:row>110</xdr:row>
      <xdr:rowOff>50800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FE62BB2-60B8-4B6A-A01C-82A9216CA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436657</xdr:colOff>
      <xdr:row>62</xdr:row>
      <xdr:rowOff>9525</xdr:rowOff>
    </xdr:from>
    <xdr:to>
      <xdr:col>10</xdr:col>
      <xdr:colOff>266141</xdr:colOff>
      <xdr:row>78</xdr:row>
      <xdr:rowOff>47625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761D7E4-85B6-446E-9003-3C0D49D00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590743</xdr:colOff>
      <xdr:row>2</xdr:row>
      <xdr:rowOff>122431</xdr:rowOff>
    </xdr:from>
    <xdr:to>
      <xdr:col>1</xdr:col>
      <xdr:colOff>1457155</xdr:colOff>
      <xdr:row>5</xdr:row>
      <xdr:rowOff>8120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2F22CDD-E5E0-4A91-BE39-9E7AFF72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43" y="452631"/>
          <a:ext cx="1456962" cy="455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1825626</xdr:colOff>
      <xdr:row>0</xdr:row>
      <xdr:rowOff>88515</xdr:rowOff>
    </xdr:from>
    <xdr:to>
      <xdr:col>2</xdr:col>
      <xdr:colOff>410414</xdr:colOff>
      <xdr:row>7</xdr:row>
      <xdr:rowOff>9526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795465A-475A-4C50-8C94-5D14C93A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276" y="88515"/>
          <a:ext cx="839038" cy="1149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352424</xdr:colOff>
      <xdr:row>2</xdr:row>
      <xdr:rowOff>95248</xdr:rowOff>
    </xdr:from>
    <xdr:to>
      <xdr:col>18</xdr:col>
      <xdr:colOff>619125</xdr:colOff>
      <xdr:row>44</xdr:row>
      <xdr:rowOff>48417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Chart 9">
              <a:extLst>
                <a:ext uri="{FF2B5EF4-FFF2-40B4-BE49-F238E27FC236}">
                  <a16:creationId xmlns:a16="http://schemas.microsoft.com/office/drawing/2014/main" id="{C260CDAF-851E-4C95-A8D6-8603489BC35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57949" y="419098"/>
              <a:ext cx="9791701" cy="71540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s-I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66675</xdr:rowOff>
    </xdr:from>
    <xdr:to>
      <xdr:col>19</xdr:col>
      <xdr:colOff>112884</xdr:colOff>
      <xdr:row>62</xdr:row>
      <xdr:rowOff>27345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1BD3B2-EC04-4C41-C253-D110D017B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228600"/>
          <a:ext cx="11323809" cy="9838095"/>
        </a:xfrm>
        <a:prstGeom prst="rect">
          <a:avLst/>
        </a:prstGeom>
      </xdr:spPr>
    </xdr:pic>
    <xdr:clientData/>
  </xdr:twoCellAnchor>
  <xdr:twoCellAnchor editAs="oneCell">
    <xdr:from>
      <xdr:col>19</xdr:col>
      <xdr:colOff>190500</xdr:colOff>
      <xdr:row>1</xdr:row>
      <xdr:rowOff>114300</xdr:rowOff>
    </xdr:from>
    <xdr:to>
      <xdr:col>30</xdr:col>
      <xdr:colOff>465852</xdr:colOff>
      <xdr:row>63</xdr:row>
      <xdr:rowOff>93998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90FD8B-8E7A-AAE4-38FC-40F13249B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72900" y="276225"/>
          <a:ext cx="6980952" cy="10019048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3</xdr:row>
      <xdr:rowOff>0</xdr:rowOff>
    </xdr:from>
    <xdr:to>
      <xdr:col>49</xdr:col>
      <xdr:colOff>315650</xdr:colOff>
      <xdr:row>42</xdr:row>
      <xdr:rowOff>19212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DDA1BA7-99FF-4051-ADA8-DAC897221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897600" y="485775"/>
          <a:ext cx="11288450" cy="6334287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65</xdr:row>
      <xdr:rowOff>0</xdr:rowOff>
    </xdr:from>
    <xdr:to>
      <xdr:col>43</xdr:col>
      <xdr:colOff>599314</xdr:colOff>
      <xdr:row>85</xdr:row>
      <xdr:rowOff>104357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B756E41-E383-1444-7332-F10105B7E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726400" y="10525125"/>
          <a:ext cx="6085714" cy="33428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342900</xdr:colOff>
      <xdr:row>61</xdr:row>
      <xdr:rowOff>14288</xdr:rowOff>
    </xdr:from>
    <xdr:to>
      <xdr:col>25</xdr:col>
      <xdr:colOff>38831</xdr:colOff>
      <xdr:row>91</xdr:row>
      <xdr:rowOff>115006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599BD3-5AE8-084D-9074-C40671E90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87400" y="10939463"/>
          <a:ext cx="10925906" cy="4958467"/>
        </a:xfrm>
        <a:prstGeom prst="rect">
          <a:avLst/>
        </a:prstGeom>
      </xdr:spPr>
    </xdr:pic>
    <xdr:clientData/>
  </xdr:twoCellAnchor>
  <xdr:twoCellAnchor editAs="oneCell">
    <xdr:from>
      <xdr:col>14</xdr:col>
      <xdr:colOff>485775</xdr:colOff>
      <xdr:row>23</xdr:row>
      <xdr:rowOff>142875</xdr:rowOff>
    </xdr:from>
    <xdr:to>
      <xdr:col>26</xdr:col>
      <xdr:colOff>331878</xdr:colOff>
      <xdr:row>58</xdr:row>
      <xdr:rowOff>67651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1CDF2F-8D2E-49AF-4EC4-630FDF3BB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30275" y="4591050"/>
          <a:ext cx="11971428" cy="59619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526256</xdr:colOff>
      <xdr:row>41</xdr:row>
      <xdr:rowOff>35718</xdr:rowOff>
    </xdr:from>
    <xdr:to>
      <xdr:col>29</xdr:col>
      <xdr:colOff>486107</xdr:colOff>
      <xdr:row>51</xdr:row>
      <xdr:rowOff>65650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9796D2-FCD3-403F-A2F0-A3B0F1471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7406" y="9255918"/>
          <a:ext cx="10050001" cy="18428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38099</xdr:colOff>
      <xdr:row>194</xdr:row>
      <xdr:rowOff>30162</xdr:rowOff>
    </xdr:from>
    <xdr:to>
      <xdr:col>31</xdr:col>
      <xdr:colOff>158750</xdr:colOff>
      <xdr:row>206</xdr:row>
      <xdr:rowOff>144462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CC6E25-1E04-47BD-A455-8D9CABFC9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114301</xdr:colOff>
      <xdr:row>207</xdr:row>
      <xdr:rowOff>38100</xdr:rowOff>
    </xdr:from>
    <xdr:to>
      <xdr:col>31</xdr:col>
      <xdr:colOff>95251</xdr:colOff>
      <xdr:row>220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09B97E5-D7BE-40FB-A25E-C27A86E26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76202</xdr:colOff>
      <xdr:row>179</xdr:row>
      <xdr:rowOff>85725</xdr:rowOff>
    </xdr:from>
    <xdr:to>
      <xdr:col>31</xdr:col>
      <xdr:colOff>123826</xdr:colOff>
      <xdr:row>193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1C65FE9-694A-4385-B2BB-D10D0EF4A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95253</xdr:colOff>
      <xdr:row>165</xdr:row>
      <xdr:rowOff>142875</xdr:rowOff>
    </xdr:from>
    <xdr:to>
      <xdr:col>31</xdr:col>
      <xdr:colOff>27215</xdr:colOff>
      <xdr:row>179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63E6323-709E-4CDC-9D24-BCD7DD46B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104775</xdr:colOff>
      <xdr:row>220</xdr:row>
      <xdr:rowOff>123825</xdr:rowOff>
    </xdr:from>
    <xdr:to>
      <xdr:col>31</xdr:col>
      <xdr:colOff>190500</xdr:colOff>
      <xdr:row>234</xdr:row>
      <xdr:rowOff>66675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79ECCE4-BAE3-4F29-A649-B272E164B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212043</xdr:colOff>
      <xdr:row>26</xdr:row>
      <xdr:rowOff>35039</xdr:rowOff>
    </xdr:from>
    <xdr:to>
      <xdr:col>26</xdr:col>
      <xdr:colOff>300491</xdr:colOff>
      <xdr:row>40</xdr:row>
      <xdr:rowOff>82324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5A495F-147B-4A3E-846F-2A401FB49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191634</xdr:colOff>
      <xdr:row>40</xdr:row>
      <xdr:rowOff>148545</xdr:rowOff>
    </xdr:from>
    <xdr:to>
      <xdr:col>26</xdr:col>
      <xdr:colOff>327706</xdr:colOff>
      <xdr:row>54</xdr:row>
      <xdr:rowOff>99786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C320277-1F0B-4801-AAEA-E7CABD7A8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200703</xdr:colOff>
      <xdr:row>55</xdr:row>
      <xdr:rowOff>86633</xdr:rowOff>
    </xdr:from>
    <xdr:to>
      <xdr:col>27</xdr:col>
      <xdr:colOff>282348</xdr:colOff>
      <xdr:row>69</xdr:row>
      <xdr:rowOff>157163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81966EA-0C8D-4ECD-8147-6E920DF78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402542</xdr:colOff>
      <xdr:row>55</xdr:row>
      <xdr:rowOff>104776</xdr:rowOff>
    </xdr:from>
    <xdr:to>
      <xdr:col>36</xdr:col>
      <xdr:colOff>3969</xdr:colOff>
      <xdr:row>69</xdr:row>
      <xdr:rowOff>145823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9872BDE-C86D-47D4-B5E9-E3E0021BC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432482</xdr:colOff>
      <xdr:row>84</xdr:row>
      <xdr:rowOff>116795</xdr:rowOff>
    </xdr:from>
    <xdr:to>
      <xdr:col>36</xdr:col>
      <xdr:colOff>19845</xdr:colOff>
      <xdr:row>98</xdr:row>
      <xdr:rowOff>58284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B9BD8A5-B4B9-4B42-AE67-6B3ACEF1D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433161</xdr:colOff>
      <xdr:row>70</xdr:row>
      <xdr:rowOff>31752</xdr:rowOff>
    </xdr:from>
    <xdr:to>
      <xdr:col>36</xdr:col>
      <xdr:colOff>27782</xdr:colOff>
      <xdr:row>83</xdr:row>
      <xdr:rowOff>79377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CAE0394-7929-4EAC-B466-EFD1FF29B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409348</xdr:colOff>
      <xdr:row>26</xdr:row>
      <xdr:rowOff>27781</xdr:rowOff>
    </xdr:from>
    <xdr:to>
      <xdr:col>33</xdr:col>
      <xdr:colOff>497796</xdr:colOff>
      <xdr:row>40</xdr:row>
      <xdr:rowOff>75066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6132429-D74C-48B7-BA83-02F5D9FD0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363991</xdr:colOff>
      <xdr:row>40</xdr:row>
      <xdr:rowOff>130402</xdr:rowOff>
    </xdr:from>
    <xdr:to>
      <xdr:col>33</xdr:col>
      <xdr:colOff>500063</xdr:colOff>
      <xdr:row>54</xdr:row>
      <xdr:rowOff>79375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828D7D5-21B8-4F26-BA56-47B0B5FE2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61707</xdr:colOff>
      <xdr:row>11</xdr:row>
      <xdr:rowOff>3814</xdr:rowOff>
    </xdr:from>
    <xdr:to>
      <xdr:col>28</xdr:col>
      <xdr:colOff>350083</xdr:colOff>
      <xdr:row>23</xdr:row>
      <xdr:rowOff>82450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0769AB-B59D-4C41-A973-EBAFB290C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83909</xdr:colOff>
      <xdr:row>1</xdr:row>
      <xdr:rowOff>117926</xdr:rowOff>
    </xdr:from>
    <xdr:to>
      <xdr:col>28</xdr:col>
      <xdr:colOff>285750</xdr:colOff>
      <xdr:row>10</xdr:row>
      <xdr:rowOff>155743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594E729-9CDF-41C3-A2BC-820C81597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45</xdr:col>
      <xdr:colOff>603779</xdr:colOff>
      <xdr:row>26</xdr:row>
      <xdr:rowOff>169861</xdr:rowOff>
    </xdr:from>
    <xdr:to>
      <xdr:col>56</xdr:col>
      <xdr:colOff>190500</xdr:colOff>
      <xdr:row>47</xdr:row>
      <xdr:rowOff>68035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1F821F0-9417-4420-9AC8-73FF58C2E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48</xdr:col>
      <xdr:colOff>343958</xdr:colOff>
      <xdr:row>1</xdr:row>
      <xdr:rowOff>34622</xdr:rowOff>
    </xdr:from>
    <xdr:to>
      <xdr:col>56</xdr:col>
      <xdr:colOff>161396</xdr:colOff>
      <xdr:row>13</xdr:row>
      <xdr:rowOff>71890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B0A9A86-26EA-4E59-8313-86040345F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</xdr:col>
      <xdr:colOff>417379</xdr:colOff>
      <xdr:row>1</xdr:row>
      <xdr:rowOff>117210</xdr:rowOff>
    </xdr:from>
    <xdr:to>
      <xdr:col>46</xdr:col>
      <xdr:colOff>234817</xdr:colOff>
      <xdr:row>11</xdr:row>
      <xdr:rowOff>31486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0415486-8F37-4FBD-9AAE-704EBEC4C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38100</xdr:colOff>
      <xdr:row>68</xdr:row>
      <xdr:rowOff>5159</xdr:rowOff>
    </xdr:from>
    <xdr:to>
      <xdr:col>56</xdr:col>
      <xdr:colOff>361950</xdr:colOff>
      <xdr:row>90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41642D6-8DB7-4763-B641-32E1B9504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149679</xdr:colOff>
      <xdr:row>24</xdr:row>
      <xdr:rowOff>27215</xdr:rowOff>
    </xdr:from>
    <xdr:to>
      <xdr:col>28</xdr:col>
      <xdr:colOff>351520</xdr:colOff>
      <xdr:row>36</xdr:row>
      <xdr:rowOff>105854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FE99926-C9BE-414D-A7F9-8EDFAA710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136072</xdr:colOff>
      <xdr:row>36</xdr:row>
      <xdr:rowOff>176893</xdr:rowOff>
    </xdr:from>
    <xdr:to>
      <xdr:col>28</xdr:col>
      <xdr:colOff>424448</xdr:colOff>
      <xdr:row>49</xdr:row>
      <xdr:rowOff>65029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B72C129-6F71-45D4-8854-8D17389EE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116418</xdr:colOff>
      <xdr:row>77</xdr:row>
      <xdr:rowOff>74083</xdr:rowOff>
    </xdr:from>
    <xdr:to>
      <xdr:col>28</xdr:col>
      <xdr:colOff>404794</xdr:colOff>
      <xdr:row>92</xdr:row>
      <xdr:rowOff>78636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A90578D2-3898-4A6C-B991-EEF65C21B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242359</xdr:colOff>
      <xdr:row>49</xdr:row>
      <xdr:rowOff>146050</xdr:rowOff>
    </xdr:from>
    <xdr:to>
      <xdr:col>28</xdr:col>
      <xdr:colOff>450550</xdr:colOff>
      <xdr:row>62</xdr:row>
      <xdr:rowOff>31013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53C2A3E2-C16A-45A0-8542-96AAAFDD2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46</xdr:col>
      <xdr:colOff>1</xdr:colOff>
      <xdr:row>48</xdr:row>
      <xdr:rowOff>0</xdr:rowOff>
    </xdr:from>
    <xdr:to>
      <xdr:col>55</xdr:col>
      <xdr:colOff>585108</xdr:colOff>
      <xdr:row>67</xdr:row>
      <xdr:rowOff>54429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85D887FC-7BA2-4882-8194-809874771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171450</xdr:colOff>
      <xdr:row>62</xdr:row>
      <xdr:rowOff>142875</xdr:rowOff>
    </xdr:from>
    <xdr:to>
      <xdr:col>28</xdr:col>
      <xdr:colOff>365125</xdr:colOff>
      <xdr:row>76</xdr:row>
      <xdr:rowOff>127000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8918B136-B4D9-468C-B249-6C0C8C619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rpabs-my.sharepoint.com/personal/gyda_bjornsdottir_sorpa_is/Documents/gagnaskil_UST/2023/Loftslagsbokhald/2023_Alfsnes/SORPA_urdun_1991_201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rpabs-my.sharepoint.com/personal/gyda_bjornsdottir_sorpa_is/Documents/gagnaskil_UST/2023/Loftslagsbokhald/2023_Alfsnes/5A_IPCC_19R_V5_Waste_Model_largeSWDS_1990-2023_Alfsnes.xlsx" TargetMode="External"/><Relationship Id="rId1" Type="http://schemas.openxmlformats.org/officeDocument/2006/relationships/externalLinkPath" Target="https://sorpabs-my.sharepoint.com/personal/gyda_bjornsdottir_sorpa_is/Documents/gagnaskil_UST/2023/Loftslagsbokhald/2023_Alfsnes/5A_IPCC_19R_V5_Waste_Model_largeSWDS_1990-2023_Alfsne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0_Emission%20Inventory\2024_Inventory\1_Input_Data\5_Waste\Methane%20Recovery_1990-2022.xlsx" TargetMode="External"/><Relationship Id="rId1" Type="http://schemas.openxmlformats.org/officeDocument/2006/relationships/externalLinkPath" Target="https://sorpabs-my.sharepoint.com/0_Emission%20Inventory/2024_Inventory/1_Input_Data/5_Waste/Methane%20Recovery_1990-20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rpabs-my.sharepoint.com/personal/gyda_bjornsdottir_sorpa_is/Documents/gagnaskil_UST/2023/Loftslagsbokhald/2023_Alfsnes/5A_waste%20composition_Alfsnes_Sorpa_.xlsm" TargetMode="External"/><Relationship Id="rId1" Type="http://schemas.openxmlformats.org/officeDocument/2006/relationships/externalLinkPath" Target="https://sorpabs-my.sharepoint.com/personal/gyda_bjornsdottir_sorpa_is/Documents/gagnaskil_UST/2023/Loftslagsbokhald/2023_Alfsnes/5A_waste%20composition_Alfsnes_Sorpa_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rpabs-my.sharepoint.com/personal/gyda_bjornsdottir_sorpa_is/Documents/gagnaskil_UST/2023/Loftslagsbokhald/2023_Alfsnes/2023_magn_urdun_metan.xlsx" TargetMode="External"/><Relationship Id="rId1" Type="http://schemas.openxmlformats.org/officeDocument/2006/relationships/externalLinkPath" Target="https://sorpabs-my.sharepoint.com/personal/gyda_bjornsdottir_sorpa_is/Documents/gagnaskil_UST/2023/Loftslagsbokhald/2023_Alfsnes/2023_magn_urdun_met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rdun"/>
    </sheetNames>
    <sheetDataSet>
      <sheetData sheetId="0">
        <row r="3">
          <cell r="C3">
            <v>50145</v>
          </cell>
        </row>
        <row r="4">
          <cell r="C4">
            <v>74100</v>
          </cell>
        </row>
        <row r="5">
          <cell r="C5">
            <v>71846</v>
          </cell>
        </row>
        <row r="6">
          <cell r="C6">
            <v>73151</v>
          </cell>
        </row>
        <row r="7">
          <cell r="C7">
            <v>70750</v>
          </cell>
        </row>
        <row r="8">
          <cell r="C8">
            <v>57780</v>
          </cell>
        </row>
        <row r="9">
          <cell r="C9">
            <v>61622</v>
          </cell>
        </row>
        <row r="10">
          <cell r="C10">
            <v>77341</v>
          </cell>
        </row>
        <row r="11">
          <cell r="C11">
            <v>81985</v>
          </cell>
        </row>
        <row r="12">
          <cell r="C12">
            <v>88290</v>
          </cell>
        </row>
        <row r="13">
          <cell r="C13">
            <v>107069</v>
          </cell>
        </row>
        <row r="14">
          <cell r="C14">
            <v>106489</v>
          </cell>
        </row>
        <row r="15">
          <cell r="C15">
            <v>108856</v>
          </cell>
        </row>
        <row r="16">
          <cell r="C16">
            <v>116240</v>
          </cell>
        </row>
        <row r="17">
          <cell r="C17">
            <v>127803</v>
          </cell>
        </row>
        <row r="18">
          <cell r="C18">
            <v>128457</v>
          </cell>
        </row>
        <row r="19">
          <cell r="C19">
            <v>130594</v>
          </cell>
        </row>
        <row r="20">
          <cell r="C20">
            <v>123495</v>
          </cell>
        </row>
        <row r="21">
          <cell r="C21">
            <v>93865</v>
          </cell>
        </row>
        <row r="22">
          <cell r="C22">
            <v>98153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Parameters"/>
      <sheetName val="MCF"/>
      <sheetName val="Activity"/>
      <sheetName val="Amnt_Deposited"/>
      <sheetName val="Recovery_OX"/>
      <sheetName val="Results"/>
      <sheetName val="HWP"/>
      <sheetName val="Stored_C"/>
      <sheetName val="Theory"/>
      <sheetName val="Defaults"/>
      <sheetName val="Food"/>
      <sheetName val="Garden"/>
      <sheetName val="Paper"/>
      <sheetName val="Wood"/>
      <sheetName val="Textiles"/>
      <sheetName val="Nappies"/>
      <sheetName val="Sludge"/>
      <sheetName val="MSW"/>
      <sheetName val="Industry"/>
    </sheetNames>
    <sheetDataSet>
      <sheetData sheetId="0"/>
      <sheetData sheetId="1"/>
      <sheetData sheetId="2"/>
      <sheetData sheetId="3"/>
      <sheetData sheetId="4"/>
      <sheetData sheetId="5"/>
      <sheetData sheetId="6">
        <row r="56">
          <cell r="O56">
            <v>0</v>
          </cell>
        </row>
        <row r="57">
          <cell r="O57">
            <v>0.29047425362550955</v>
          </cell>
        </row>
        <row r="58">
          <cell r="O58">
            <v>0.67849135172631725</v>
          </cell>
        </row>
        <row r="59">
          <cell r="O59">
            <v>0.99900161260244347</v>
          </cell>
        </row>
        <row r="60">
          <cell r="O60">
            <v>1.2829663433752103</v>
          </cell>
        </row>
        <row r="61">
          <cell r="O61">
            <v>1.4224449519075688</v>
          </cell>
        </row>
        <row r="62">
          <cell r="O62">
            <v>1.4562780251693788</v>
          </cell>
        </row>
        <row r="63">
          <cell r="O63">
            <v>1.5586041685799217</v>
          </cell>
        </row>
        <row r="64">
          <cell r="O64">
            <v>1.7357867131612321</v>
          </cell>
        </row>
        <row r="65">
          <cell r="O65">
            <v>1.8823587683182799</v>
          </cell>
        </row>
        <row r="66">
          <cell r="O66">
            <v>2.1003415611486558</v>
          </cell>
        </row>
        <row r="67">
          <cell r="O67">
            <v>2.2198995394948531</v>
          </cell>
        </row>
        <row r="68">
          <cell r="O68">
            <v>2.3214842665702116</v>
          </cell>
        </row>
        <row r="69">
          <cell r="O69">
            <v>2.5887904569797757</v>
          </cell>
        </row>
        <row r="70">
          <cell r="O70">
            <v>2.3889125076741324</v>
          </cell>
        </row>
        <row r="71">
          <cell r="O71">
            <v>3.398089691834477</v>
          </cell>
        </row>
        <row r="72">
          <cell r="O72">
            <v>3.6263400035252897</v>
          </cell>
        </row>
        <row r="73">
          <cell r="O73">
            <v>3.658334728263648</v>
          </cell>
        </row>
        <row r="74">
          <cell r="O74">
            <v>3.6651793941487312</v>
          </cell>
        </row>
        <row r="75">
          <cell r="O75">
            <v>3.913902419941905</v>
          </cell>
        </row>
        <row r="76">
          <cell r="O76">
            <v>3.6053205161156821</v>
          </cell>
        </row>
        <row r="77">
          <cell r="O77">
            <v>3.1162282489449455</v>
          </cell>
        </row>
        <row r="78">
          <cell r="O78">
            <v>3.38103561557062</v>
          </cell>
        </row>
        <row r="79">
          <cell r="O79">
            <v>3.5062591060455213</v>
          </cell>
        </row>
        <row r="80">
          <cell r="O80">
            <v>3.6292215800446357</v>
          </cell>
        </row>
        <row r="81">
          <cell r="O81">
            <v>3.7133140904600279</v>
          </cell>
        </row>
        <row r="82">
          <cell r="O82">
            <v>3.7446441135266277</v>
          </cell>
        </row>
        <row r="83">
          <cell r="O83">
            <v>3.749192786530184</v>
          </cell>
        </row>
        <row r="84">
          <cell r="O84">
            <v>2.9040681409767868</v>
          </cell>
        </row>
        <row r="85">
          <cell r="O85">
            <v>3.8883354302803217</v>
          </cell>
        </row>
        <row r="86">
          <cell r="O86">
            <v>3.9838081055490395</v>
          </cell>
        </row>
        <row r="87">
          <cell r="O87">
            <v>3.8133464207727332</v>
          </cell>
        </row>
        <row r="88">
          <cell r="O88">
            <v>3.3376957751393168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A Sheet"/>
      <sheetName val="For 5_Waste"/>
      <sheetName val="For IPCC model"/>
      <sheetName val="Sorpa"/>
      <sheetName val="Sorpa old"/>
      <sheetName val="Norðurorka"/>
      <sheetName val="Fiflholt Borgarnes"/>
      <sheetName val="Stekkjarvík"/>
      <sheetName val="QC Log"/>
    </sheetNames>
    <sheetDataSet>
      <sheetData sheetId="0"/>
      <sheetData sheetId="1"/>
      <sheetData sheetId="2"/>
      <sheetData sheetId="3">
        <row r="10">
          <cell r="M10">
            <v>0.10246121677999999</v>
          </cell>
        </row>
        <row r="11">
          <cell r="M11">
            <v>0.20492243355999998</v>
          </cell>
        </row>
        <row r="12">
          <cell r="M12">
            <v>0.23907617248666663</v>
          </cell>
        </row>
        <row r="13">
          <cell r="M13">
            <v>0.27322991141333325</v>
          </cell>
        </row>
        <row r="14">
          <cell r="M14">
            <v>0.3415373892666666</v>
          </cell>
        </row>
        <row r="15">
          <cell r="M15">
            <v>0.3415373892666666</v>
          </cell>
        </row>
        <row r="16">
          <cell r="M16">
            <v>0.54086270809136439</v>
          </cell>
        </row>
        <row r="17">
          <cell r="M17">
            <v>0.71296749699150896</v>
          </cell>
        </row>
        <row r="18">
          <cell r="M18">
            <v>0.67979533652159463</v>
          </cell>
        </row>
        <row r="19">
          <cell r="M19">
            <v>1.1801175565070059</v>
          </cell>
        </row>
        <row r="20">
          <cell r="M20">
            <v>0.37648554416076752</v>
          </cell>
        </row>
        <row r="21">
          <cell r="M21">
            <v>0.40438026889173329</v>
          </cell>
        </row>
        <row r="22">
          <cell r="M22">
            <v>0.62911187102919996</v>
          </cell>
        </row>
        <row r="23">
          <cell r="M23">
            <v>0.80429732718052971</v>
          </cell>
        </row>
        <row r="24">
          <cell r="M24">
            <v>0.49932766310786658</v>
          </cell>
        </row>
        <row r="25">
          <cell r="M25">
            <v>0.85042809927399976</v>
          </cell>
        </row>
        <row r="26">
          <cell r="M26">
            <v>1.5065316656326135</v>
          </cell>
        </row>
        <row r="27">
          <cell r="M27">
            <v>1.3429366268677683</v>
          </cell>
        </row>
        <row r="28">
          <cell r="M28">
            <v>1.2980773922399997</v>
          </cell>
        </row>
        <row r="29">
          <cell r="M29">
            <v>1.2372753345799998</v>
          </cell>
        </row>
        <row r="30">
          <cell r="M30">
            <v>1.2501413281999998</v>
          </cell>
        </row>
        <row r="31">
          <cell r="M31">
            <v>1.3602565711444807</v>
          </cell>
        </row>
        <row r="32">
          <cell r="M32">
            <v>1.5143009519369941</v>
          </cell>
        </row>
        <row r="33">
          <cell r="M33">
            <v>2.5567121924031593</v>
          </cell>
        </row>
        <row r="34">
          <cell r="M34">
            <v>1.5121810081251119</v>
          </cell>
        </row>
        <row r="35">
          <cell r="M35">
            <v>1.3332944568464928</v>
          </cell>
        </row>
        <row r="36">
          <cell r="M36">
            <v>1.3572348807674999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A Sheet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QC Log"/>
    </sheetNames>
    <sheetDataSet>
      <sheetData sheetId="0"/>
      <sheetData sheetId="1">
        <row r="114">
          <cell r="AE114">
            <v>10510916.960421911</v>
          </cell>
          <cell r="AF114">
            <v>2593012.6719240877</v>
          </cell>
          <cell r="AG114">
            <v>299640.2178601895</v>
          </cell>
          <cell r="AH114">
            <v>615548.2321513138</v>
          </cell>
          <cell r="AI114">
            <v>6393627.8445723234</v>
          </cell>
          <cell r="AJ114">
            <v>48799386.580111757</v>
          </cell>
          <cell r="AK114">
            <v>14230649.611292142</v>
          </cell>
          <cell r="AL114">
            <v>18532685.966820519</v>
          </cell>
          <cell r="AM114">
            <v>759372.91484575777</v>
          </cell>
          <cell r="AP114">
            <v>1902760</v>
          </cell>
          <cell r="AT114">
            <v>1751300</v>
          </cell>
        </row>
      </sheetData>
      <sheetData sheetId="2">
        <row r="114">
          <cell r="AE114">
            <v>10969203.236590322</v>
          </cell>
          <cell r="AF114">
            <v>2706070.5645844718</v>
          </cell>
          <cell r="AG114">
            <v>361429.65746463696</v>
          </cell>
          <cell r="AH114">
            <v>642386.73807585798</v>
          </cell>
          <cell r="AI114">
            <v>6672396.2819150249</v>
          </cell>
          <cell r="AJ114">
            <v>50756329.332588963</v>
          </cell>
          <cell r="AK114">
            <v>12496221.186059937</v>
          </cell>
          <cell r="AL114">
            <v>19340729.229945283</v>
          </cell>
          <cell r="AM114">
            <v>736474.77277549577</v>
          </cell>
          <cell r="AP114">
            <v>3276160</v>
          </cell>
          <cell r="AT114">
            <v>1328700</v>
          </cell>
        </row>
      </sheetData>
      <sheetData sheetId="3">
        <row r="114">
          <cell r="AE114">
            <v>10562209.392566895</v>
          </cell>
          <cell r="AF114">
            <v>2605666.3658907097</v>
          </cell>
          <cell r="AG114">
            <v>269366.77420217177</v>
          </cell>
          <cell r="AH114">
            <v>618552.05817795568</v>
          </cell>
          <cell r="AI114">
            <v>6424828.2359000128</v>
          </cell>
          <cell r="AJ114">
            <v>49727465.995832734</v>
          </cell>
          <cell r="AK114">
            <v>11791619.359561741</v>
          </cell>
          <cell r="AL114">
            <v>18623123.988640767</v>
          </cell>
          <cell r="AM114">
            <v>784274.82922701223</v>
          </cell>
          <cell r="AP114">
            <v>3583581</v>
          </cell>
          <cell r="AT114">
            <v>1543240</v>
          </cell>
        </row>
      </sheetData>
      <sheetData sheetId="4">
        <row r="114">
          <cell r="AE114">
            <v>10816659.024159815</v>
          </cell>
          <cell r="AF114">
            <v>2668438.3506348808</v>
          </cell>
          <cell r="AG114">
            <v>287877.7081068728</v>
          </cell>
          <cell r="AH114">
            <v>633453.32906500949</v>
          </cell>
          <cell r="AI114">
            <v>6579606.0022661127</v>
          </cell>
          <cell r="AJ114">
            <v>49454343.17768012</v>
          </cell>
          <cell r="AK114">
            <v>13618240.924555453</v>
          </cell>
          <cell r="AL114">
            <v>19071765.637551241</v>
          </cell>
          <cell r="AM114">
            <v>747246.84598049207</v>
          </cell>
          <cell r="AP114">
            <v>2408700</v>
          </cell>
          <cell r="AT114">
            <v>2168961</v>
          </cell>
        </row>
      </sheetData>
      <sheetData sheetId="5">
        <row r="114">
          <cell r="AE114">
            <v>10900104.845410582</v>
          </cell>
          <cell r="AF114">
            <v>3652723.9652971695</v>
          </cell>
          <cell r="AG114">
            <v>920956.79625765129</v>
          </cell>
          <cell r="AH114">
            <v>1934766.3529983172</v>
          </cell>
          <cell r="AI114">
            <v>6575559.684654355</v>
          </cell>
          <cell r="AJ114">
            <v>51603982.710915901</v>
          </cell>
          <cell r="AK114">
            <v>9689288.3063585013</v>
          </cell>
          <cell r="AL114">
            <v>20926421.232356686</v>
          </cell>
          <cell r="AM114">
            <v>1173857.1057508478</v>
          </cell>
          <cell r="AP114">
            <v>2070180</v>
          </cell>
          <cell r="AT114">
            <v>2290321</v>
          </cell>
        </row>
      </sheetData>
      <sheetData sheetId="6">
        <row r="114">
          <cell r="AE114">
            <v>14107999.893994039</v>
          </cell>
          <cell r="AF114">
            <v>4713465.871574061</v>
          </cell>
          <cell r="AG114">
            <v>906417.3338056698</v>
          </cell>
          <cell r="AH114">
            <v>1941735.2077817281</v>
          </cell>
          <cell r="AI114">
            <v>6958686.5899828449</v>
          </cell>
          <cell r="AJ114">
            <v>53466223.788451195</v>
          </cell>
          <cell r="AK114">
            <v>12099231.431652458</v>
          </cell>
          <cell r="AL114">
            <v>22043876.67459204</v>
          </cell>
          <cell r="AM114">
            <v>1290803.2081659618</v>
          </cell>
          <cell r="AP114">
            <v>1667140</v>
          </cell>
          <cell r="AT114">
            <v>3355919</v>
          </cell>
        </row>
      </sheetData>
      <sheetData sheetId="7">
        <row r="114">
          <cell r="AE114">
            <v>30508294.229999997</v>
          </cell>
          <cell r="AF114">
            <v>4533360.99</v>
          </cell>
          <cell r="AG114">
            <v>10369154.680000002</v>
          </cell>
          <cell r="AH114">
            <v>0</v>
          </cell>
          <cell r="AI114">
            <v>2695511.94</v>
          </cell>
          <cell r="AJ114">
            <v>49067232.350000001</v>
          </cell>
          <cell r="AK114">
            <v>13967586.999999998</v>
          </cell>
          <cell r="AL114">
            <v>23892037.650000002</v>
          </cell>
          <cell r="AM114">
            <v>1093926.1600000001</v>
          </cell>
          <cell r="AP114">
            <v>1473560</v>
          </cell>
          <cell r="AT114">
            <v>4324690</v>
          </cell>
        </row>
      </sheetData>
      <sheetData sheetId="8">
        <row r="114">
          <cell r="AE114">
            <v>34060189.800000004</v>
          </cell>
          <cell r="AF114">
            <v>4241928.4000000004</v>
          </cell>
          <cell r="AG114">
            <v>11553919.199999999</v>
          </cell>
          <cell r="AH114">
            <v>0</v>
          </cell>
          <cell r="AI114">
            <v>3618115.4</v>
          </cell>
          <cell r="AJ114">
            <v>42275551.399999999</v>
          </cell>
          <cell r="AK114">
            <v>6838881.4000000004</v>
          </cell>
          <cell r="AL114">
            <v>32687801.200000003</v>
          </cell>
          <cell r="AM114">
            <v>5186706.1999999993</v>
          </cell>
          <cell r="AP114">
            <v>1365020</v>
          </cell>
          <cell r="AT114">
            <v>5533840</v>
          </cell>
        </row>
      </sheetData>
      <sheetData sheetId="9">
        <row r="114">
          <cell r="AE114">
            <v>22869217.719999999</v>
          </cell>
          <cell r="AF114">
            <v>3441484.22</v>
          </cell>
          <cell r="AG114">
            <v>20169047.219999999</v>
          </cell>
          <cell r="AH114">
            <v>0</v>
          </cell>
          <cell r="AI114">
            <v>5994843.4799999995</v>
          </cell>
          <cell r="AJ114">
            <v>43084159.980000004</v>
          </cell>
          <cell r="AK114">
            <v>6809619.5200000005</v>
          </cell>
          <cell r="AL114">
            <v>22203124</v>
          </cell>
          <cell r="AM114">
            <v>400556.86</v>
          </cell>
          <cell r="AP114">
            <v>1035560</v>
          </cell>
          <cell r="AT114">
            <v>4963910</v>
          </cell>
        </row>
      </sheetData>
      <sheetData sheetId="10">
        <row r="114">
          <cell r="AE114">
            <v>13599678.299999999</v>
          </cell>
          <cell r="AF114">
            <v>2895415.3800000004</v>
          </cell>
          <cell r="AG114">
            <v>18761650.18</v>
          </cell>
          <cell r="AH114">
            <v>0</v>
          </cell>
          <cell r="AI114">
            <v>5352131.46</v>
          </cell>
          <cell r="AJ114">
            <v>39331536.600000001</v>
          </cell>
          <cell r="AK114">
            <v>5884163.4199999999</v>
          </cell>
          <cell r="AL114">
            <v>15617695.079999998</v>
          </cell>
          <cell r="AM114">
            <v>361859.58</v>
          </cell>
          <cell r="AP114">
            <v>1073720</v>
          </cell>
          <cell r="AT114">
            <v>2377140</v>
          </cell>
        </row>
      </sheetData>
      <sheetData sheetId="11">
        <row r="114">
          <cell r="AE114">
            <v>9566479.2677657753</v>
          </cell>
          <cell r="AF114">
            <v>5215077.5190449124</v>
          </cell>
          <cell r="AG114">
            <v>13013533.100625355</v>
          </cell>
          <cell r="AH114">
            <v>0</v>
          </cell>
          <cell r="AI114">
            <v>7326002.7106310409</v>
          </cell>
          <cell r="AJ114">
            <v>30978170.803865835</v>
          </cell>
          <cell r="AK114">
            <v>5836695.788516202</v>
          </cell>
          <cell r="AL114">
            <v>16486046.321773736</v>
          </cell>
          <cell r="AM114">
            <v>836294.48777714616</v>
          </cell>
          <cell r="AP114">
            <v>1559990</v>
          </cell>
          <cell r="AT114">
            <v>5454160</v>
          </cell>
        </row>
      </sheetData>
      <sheetData sheetId="12">
        <row r="114">
          <cell r="AE114">
            <v>11284337.136803731</v>
          </cell>
          <cell r="AF114">
            <v>5908289.6236062776</v>
          </cell>
          <cell r="AG114">
            <v>9574449.7907345612</v>
          </cell>
          <cell r="AH114">
            <v>0</v>
          </cell>
          <cell r="AI114">
            <v>2383693.8849040079</v>
          </cell>
          <cell r="AJ114">
            <v>10433641.731174396</v>
          </cell>
          <cell r="AK114">
            <v>6733247.9643964684</v>
          </cell>
          <cell r="AL114">
            <v>16609439.561347442</v>
          </cell>
          <cell r="AM114">
            <v>701710.30703311786</v>
          </cell>
          <cell r="AP114">
            <v>1827620</v>
          </cell>
          <cell r="AT114">
            <v>2014240</v>
          </cell>
        </row>
      </sheetData>
      <sheetData sheetId="13">
        <row r="114">
          <cell r="AE114">
            <v>4773480.96</v>
          </cell>
          <cell r="AF114">
            <v>2261122.56</v>
          </cell>
          <cell r="AG114">
            <v>587299.03999999992</v>
          </cell>
          <cell r="AH114">
            <v>0</v>
          </cell>
          <cell r="AI114">
            <v>5569061.120000001</v>
          </cell>
          <cell r="AJ114">
            <v>21744197.359999999</v>
          </cell>
          <cell r="AK114">
            <v>7145288.4800000004</v>
          </cell>
          <cell r="AL114">
            <v>6532131.8399999999</v>
          </cell>
          <cell r="AM114">
            <v>1749608.64</v>
          </cell>
          <cell r="AP114">
            <v>1124650</v>
          </cell>
          <cell r="AT114">
            <v>2354370</v>
          </cell>
        </row>
      </sheetData>
      <sheetData sheetId="14">
        <row r="114">
          <cell r="AE114">
            <v>332300.88</v>
          </cell>
        </row>
      </sheetData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5">
          <cell r="R5">
            <v>1962496</v>
          </cell>
        </row>
        <row r="6">
          <cell r="R6">
            <v>213623</v>
          </cell>
        </row>
        <row r="7">
          <cell r="R7">
            <v>0</v>
          </cell>
        </row>
        <row r="8">
          <cell r="R8">
            <v>24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igríður Rós Einarsdóttir" id="{B93B0A75-FF82-4A0B-963C-EF77933EBFF3}" userId="S::sigridure@ust.is::5bfd1e0c-34cf-4ad3-8319-9a7441babb22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568AC7-D434-4502-93C7-E97CD8A2898A}" name="tblBrennsla" displayName="tblBrennsla" ref="U10:AC27" totalsRowShown="0" headerRowDxfId="5" tableBorderDxfId="4">
  <autoFilter ref="U10:AC27" xr:uid="{10568AC7-D434-4502-93C7-E97CD8A2898A}"/>
  <tableColumns count="9">
    <tableColumn id="1" xr3:uid="{218CF7A8-A86C-4AD2-B6EF-0497044E7060}" name="Tímabil" dataDxfId="3"/>
    <tableColumn id="9" xr3:uid="{F14D0CFE-0F39-4538-8B4E-FE37091AD3D7}" name="2023" dataDxfId="2"/>
    <tableColumn id="8" xr3:uid="{1BF58F93-653B-4C2B-B48E-0A5E2E5369B0}" name="2022" dataDxfId="1"/>
    <tableColumn id="2" xr3:uid="{344F60DF-71D7-4B20-8D57-C3F57B2C53AD}" name="2021"/>
    <tableColumn id="3" xr3:uid="{409AC550-1145-4421-9F2E-2E1AB5521659}" name="2020" dataDxfId="0"/>
    <tableColumn id="4" xr3:uid="{976377AF-D4B0-40ED-9FCF-AC2E5F6E6865}" name="2019"/>
    <tableColumn id="5" xr3:uid="{2D087209-D4AE-4889-AA52-361C5BB6F58A}" name="2018"/>
    <tableColumn id="6" xr3:uid="{013A1345-B917-4394-AD1C-926E924D2D42}" name="2017"/>
    <tableColumn id="7" xr3:uid="{E88EF0D6-DE0D-4CFB-9997-ED12CBC69087}" name="2016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EFLA Pallette">
      <a:dk1>
        <a:sysClr val="windowText" lastClr="000000"/>
      </a:dk1>
      <a:lt1>
        <a:sysClr val="window" lastClr="FFFFFF"/>
      </a:lt1>
      <a:dk2>
        <a:srgbClr val="7F7F7F"/>
      </a:dk2>
      <a:lt2>
        <a:srgbClr val="E7E6E6"/>
      </a:lt2>
      <a:accent1>
        <a:srgbClr val="EE3523"/>
      </a:accent1>
      <a:accent2>
        <a:srgbClr val="A7A9AC"/>
      </a:accent2>
      <a:accent3>
        <a:srgbClr val="0080A5"/>
      </a:accent3>
      <a:accent4>
        <a:srgbClr val="CADDDF"/>
      </a:accent4>
      <a:accent5>
        <a:srgbClr val="1A3E6F"/>
      </a:accent5>
      <a:accent6>
        <a:srgbClr val="ECBFC1"/>
      </a:accent6>
      <a:hlink>
        <a:srgbClr val="0563C1"/>
      </a:hlink>
      <a:folHlink>
        <a:srgbClr val="954F72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2" dT="2019-05-23T11:00:19.13" personId="{B93B0A75-FF82-4A0B-963C-EF77933EBFF3}" id="{046EBB9B-69DF-4102-9B20-D32C67B5719F}">
    <text>For 1950-2004 this is the sum of Food and Manure from old estimation file</text>
  </threadedComment>
  <threadedComment ref="N12" dT="2019-05-23T11:14:33.22" personId="{B93B0A75-FF82-4A0B-963C-EF77933EBFF3}" id="{1DAAD41C-E3E8-47BC-9EF3-E27687A71A4D}">
    <text>For 1950-2004 this is the sum of Food and Manure from old estimation files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ust.is/loft/losun-grodurhusalofttegunda/losun-islands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www.faxafloahafnir.is/cruiseships/index.php?pid=1&amp;w=v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.is/starfsemi/ibudamarkadurinn/" TargetMode="External"/><Relationship Id="rId3" Type="http://schemas.openxmlformats.org/officeDocument/2006/relationships/hyperlink" Target="https://www.ust.is/loft/losun-grodurhusalofttegunda/losun-islands/" TargetMode="External"/><Relationship Id="rId7" Type="http://schemas.openxmlformats.org/officeDocument/2006/relationships/hyperlink" Target="https://www.si.is/media/_eplica-uppsetning/Fridrik_glaerur_Final.pdf" TargetMode="External"/><Relationship Id="rId2" Type="http://schemas.openxmlformats.org/officeDocument/2006/relationships/hyperlink" Target="https://www.stjornarradid.is/verkefni/atvinnuvegir/landbunadur/maelabord-landbunadarins-/" TargetMode="External"/><Relationship Id="rId1" Type="http://schemas.openxmlformats.org/officeDocument/2006/relationships/hyperlink" Target="https://www.veitur.is/utgefid-efni/hitaveita" TargetMode="External"/><Relationship Id="rId6" Type="http://schemas.openxmlformats.org/officeDocument/2006/relationships/hyperlink" Target="https://reykjavik.is/husnaedi/uppbygging-ibuda-eftir-skipulagsflokkum" TargetMode="External"/><Relationship Id="rId5" Type="http://schemas.openxmlformats.org/officeDocument/2006/relationships/hyperlink" Target="https://sorpa.is/um-sorpu/utgefid-efni/arsskyrslur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www.isavia.is/fyrirtaekid/um-isavia/utgefid-efni/flugtolur/flugtolur" TargetMode="External"/><Relationship Id="rId9" Type="http://schemas.openxmlformats.org/officeDocument/2006/relationships/hyperlink" Target="https://ssh.is/images/stories/Samgongumal/2017_Greinagerd_Umferdarspa_2030_LOKA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samgongustofa.is/umferd/tolfraedi/onnur-tolfraedi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st.is/library/sida/Loft/Losunarstudlar_UST_5.0.2.pdf" TargetMode="External"/><Relationship Id="rId2" Type="http://schemas.openxmlformats.org/officeDocument/2006/relationships/hyperlink" Target="https://www.samgongustofa.is/umferd/tolfraedi/onnur-tolfraedi/" TargetMode="External"/><Relationship Id="rId1" Type="http://schemas.openxmlformats.org/officeDocument/2006/relationships/hyperlink" Target="https://www.samgongustofa.is/umferd/tolfraedi/onnur-tolfraedi/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90FF8-3441-4D44-B52C-F2E13C087FD8}">
  <dimension ref="A1:Q111"/>
  <sheetViews>
    <sheetView showGridLines="0" workbookViewId="0"/>
    <sheetView showGridLines="0" workbookViewId="1"/>
  </sheetViews>
  <sheetFormatPr defaultRowHeight="13" x14ac:dyDescent="0.6"/>
  <cols>
    <col min="1" max="1" width="34.7265625" customWidth="1"/>
    <col min="3" max="3" width="8.7265625" bestFit="1" customWidth="1"/>
    <col min="4" max="4" width="12.1328125" bestFit="1" customWidth="1"/>
    <col min="8" max="8" width="10.26953125" bestFit="1" customWidth="1"/>
    <col min="9" max="9" width="9.86328125" customWidth="1"/>
    <col min="12" max="12" width="11.1328125" bestFit="1" customWidth="1"/>
  </cols>
  <sheetData>
    <row r="1" spans="1:17" ht="23.5" x14ac:dyDescent="0.6">
      <c r="A1" s="10" t="s">
        <v>0</v>
      </c>
      <c r="B1" s="8"/>
      <c r="C1" s="9"/>
      <c r="D1" s="9"/>
      <c r="E1" s="9"/>
      <c r="F1" s="9"/>
      <c r="G1" s="9"/>
      <c r="H1" s="9"/>
      <c r="I1" s="9"/>
    </row>
    <row r="2" spans="1:17" ht="23.5" x14ac:dyDescent="0.6">
      <c r="A2" s="10"/>
      <c r="B2" s="8"/>
      <c r="C2" s="9"/>
      <c r="D2" s="9"/>
      <c r="E2" s="9"/>
      <c r="F2" s="9"/>
      <c r="G2" s="9"/>
      <c r="H2" s="9"/>
      <c r="I2" s="9"/>
    </row>
    <row r="3" spans="1:17" ht="15" customHeight="1" x14ac:dyDescent="0.6">
      <c r="A3" s="6" t="s">
        <v>1</v>
      </c>
      <c r="B3" s="4" t="s">
        <v>2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</row>
    <row r="4" spans="1:17" ht="15" customHeight="1" x14ac:dyDescent="0.65">
      <c r="A4" s="35" t="s">
        <v>3</v>
      </c>
      <c r="B4" s="35" t="s">
        <v>4</v>
      </c>
      <c r="C4" s="32">
        <f t="shared" ref="C4:H4" si="0">SUM(C5:C8)</f>
        <v>4792599.937374494</v>
      </c>
      <c r="D4" s="32">
        <f t="shared" si="0"/>
        <v>4742974.2998137753</v>
      </c>
      <c r="E4" s="32">
        <f t="shared" si="0"/>
        <v>4820511.6313455394</v>
      </c>
      <c r="F4" s="32">
        <f t="shared" si="0"/>
        <v>4847521.3477240102</v>
      </c>
      <c r="G4" s="32">
        <f t="shared" si="0"/>
        <v>4739230.7881337218</v>
      </c>
      <c r="H4" s="26">
        <f t="shared" si="0"/>
        <v>2869700</v>
      </c>
      <c r="I4" s="26"/>
      <c r="K4" t="s">
        <v>5</v>
      </c>
      <c r="M4" s="33"/>
      <c r="N4" s="33"/>
      <c r="O4" s="33"/>
      <c r="P4" s="33"/>
      <c r="Q4" s="33"/>
    </row>
    <row r="5" spans="1:17" ht="15" customHeight="1" x14ac:dyDescent="0.65">
      <c r="A5" s="32" t="s">
        <v>6</v>
      </c>
      <c r="B5" s="35" t="s">
        <v>4</v>
      </c>
      <c r="C5" s="32">
        <v>1852173.2603319914</v>
      </c>
      <c r="D5" s="32">
        <v>1827497.9452542874</v>
      </c>
      <c r="E5" s="32">
        <v>1870516.2136826504</v>
      </c>
      <c r="F5" s="32">
        <v>1912881.1387623274</v>
      </c>
      <c r="G5" s="32">
        <v>1854913.2341564749</v>
      </c>
      <c r="H5" s="26"/>
      <c r="I5" s="26"/>
      <c r="M5" s="33"/>
      <c r="N5" s="33"/>
      <c r="O5" s="33"/>
      <c r="P5" s="33"/>
      <c r="Q5" s="33"/>
    </row>
    <row r="6" spans="1:17" ht="15" customHeight="1" x14ac:dyDescent="0.65">
      <c r="A6" s="32" t="s">
        <v>7</v>
      </c>
      <c r="B6" s="35" t="s">
        <v>4</v>
      </c>
      <c r="C6" s="32">
        <v>1998359.9071267762</v>
      </c>
      <c r="D6" s="32">
        <v>1986578.5495812562</v>
      </c>
      <c r="E6" s="32">
        <v>2024053.8991116346</v>
      </c>
      <c r="F6" s="32">
        <v>2022534.9274018391</v>
      </c>
      <c r="G6" s="32">
        <v>2024369.7415438371</v>
      </c>
      <c r="H6" s="26">
        <v>1986000</v>
      </c>
      <c r="I6" s="26"/>
      <c r="M6" s="33"/>
      <c r="N6" s="33"/>
      <c r="O6" s="33"/>
      <c r="P6" s="33"/>
      <c r="Q6" s="33"/>
    </row>
    <row r="7" spans="1:17" ht="15" customHeight="1" x14ac:dyDescent="0.65">
      <c r="A7" s="32" t="s">
        <v>8</v>
      </c>
      <c r="B7" s="35" t="s">
        <v>4</v>
      </c>
      <c r="C7" s="32">
        <v>652566.7699157265</v>
      </c>
      <c r="D7" s="32">
        <v>654297.80497823202</v>
      </c>
      <c r="E7" s="32">
        <v>655941.5185512543</v>
      </c>
      <c r="F7" s="32">
        <v>631905.28155984322</v>
      </c>
      <c r="G7" s="32">
        <v>618847.81243340939</v>
      </c>
      <c r="H7" s="27">
        <v>618000</v>
      </c>
      <c r="I7" s="27"/>
      <c r="M7" s="33"/>
      <c r="N7" s="33"/>
      <c r="O7" s="33"/>
      <c r="P7" s="33"/>
      <c r="Q7" s="33"/>
    </row>
    <row r="8" spans="1:17" ht="15" customHeight="1" x14ac:dyDescent="0.6">
      <c r="A8" s="32" t="s">
        <v>9</v>
      </c>
      <c r="B8" s="35" t="s">
        <v>4</v>
      </c>
      <c r="C8" s="32">
        <v>289500</v>
      </c>
      <c r="D8" s="32">
        <v>274600</v>
      </c>
      <c r="E8" s="32">
        <v>270000</v>
      </c>
      <c r="F8" s="32">
        <v>280200</v>
      </c>
      <c r="G8" s="32">
        <v>241100</v>
      </c>
      <c r="H8" s="28">
        <v>265700</v>
      </c>
      <c r="I8" s="28">
        <v>268500</v>
      </c>
    </row>
    <row r="9" spans="1:17" ht="15" customHeight="1" x14ac:dyDescent="0.6"/>
    <row r="10" spans="1:17" ht="15" customHeight="1" x14ac:dyDescent="0.6">
      <c r="A10" s="6" t="s">
        <v>6</v>
      </c>
      <c r="B10" s="4" t="s">
        <v>2</v>
      </c>
      <c r="C10" s="5">
        <v>2015</v>
      </c>
      <c r="D10" s="5">
        <v>2016</v>
      </c>
      <c r="E10" s="5">
        <v>2017</v>
      </c>
      <c r="F10" s="5">
        <v>2018</v>
      </c>
      <c r="G10" s="5">
        <v>2019</v>
      </c>
      <c r="H10" s="5">
        <v>2020</v>
      </c>
      <c r="I10" s="5">
        <v>2021</v>
      </c>
    </row>
    <row r="11" spans="1:17" ht="15" customHeight="1" x14ac:dyDescent="0.65">
      <c r="A11" s="35" t="s">
        <v>3</v>
      </c>
      <c r="B11" s="35" t="s">
        <v>4</v>
      </c>
      <c r="C11" s="32">
        <f t="shared" ref="C11:H11" si="1">SUM(C12:C19)</f>
        <v>1852173.2603319916</v>
      </c>
      <c r="D11" s="32">
        <f t="shared" si="1"/>
        <v>1827497.9452542877</v>
      </c>
      <c r="E11" s="32">
        <f t="shared" si="1"/>
        <v>1870516.2136826506</v>
      </c>
      <c r="F11" s="32">
        <f t="shared" si="1"/>
        <v>1912881.1387623276</v>
      </c>
      <c r="G11" s="32">
        <f t="shared" si="1"/>
        <v>1854913.2341564752</v>
      </c>
      <c r="H11" s="26">
        <f t="shared" si="1"/>
        <v>1575500</v>
      </c>
      <c r="I11" s="26"/>
      <c r="K11" s="727" t="s">
        <v>5</v>
      </c>
      <c r="M11" s="33"/>
      <c r="N11" s="33"/>
      <c r="O11" s="33"/>
      <c r="P11" s="33"/>
      <c r="Q11" s="33"/>
    </row>
    <row r="12" spans="1:17" ht="15" customHeight="1" x14ac:dyDescent="0.65">
      <c r="A12" s="34" t="s">
        <v>10</v>
      </c>
      <c r="B12" s="35" t="s">
        <v>4</v>
      </c>
      <c r="C12" s="32">
        <v>624190.13463029347</v>
      </c>
      <c r="D12" s="32">
        <v>521497.72702248802</v>
      </c>
      <c r="E12" s="32">
        <v>534065.72982284508</v>
      </c>
      <c r="F12" s="32">
        <v>551731.62428879994</v>
      </c>
      <c r="G12" s="32">
        <v>522179.89003508026</v>
      </c>
      <c r="H12" s="26">
        <v>509500</v>
      </c>
      <c r="I12" s="26">
        <v>574200</v>
      </c>
      <c r="L12">
        <v>1824</v>
      </c>
      <c r="M12" s="33">
        <v>1793</v>
      </c>
      <c r="N12" s="33">
        <v>1837</v>
      </c>
      <c r="O12" s="33">
        <v>1877</v>
      </c>
      <c r="P12" s="33">
        <v>1817</v>
      </c>
      <c r="Q12" s="33"/>
    </row>
    <row r="13" spans="1:17" ht="15" customHeight="1" x14ac:dyDescent="0.65">
      <c r="A13" s="34" t="s">
        <v>11</v>
      </c>
      <c r="B13" s="35" t="s">
        <v>4</v>
      </c>
      <c r="C13" s="32">
        <v>820387.12813915114</v>
      </c>
      <c r="D13" s="32">
        <v>895309.07609811472</v>
      </c>
      <c r="E13" s="32">
        <v>945294.05658036924</v>
      </c>
      <c r="F13" s="32">
        <v>971426.24849384336</v>
      </c>
      <c r="G13" s="32">
        <v>951992.76835349039</v>
      </c>
      <c r="H13" s="26">
        <v>887000</v>
      </c>
      <c r="I13" s="26"/>
      <c r="L13" s="32">
        <f>(L12*1000)-C12-C13-C16-C18</f>
        <v>94153.99453122195</v>
      </c>
      <c r="M13" s="32">
        <f>(M12*1000)-D12-D13-D16-D18</f>
        <v>87123.448674195883</v>
      </c>
      <c r="N13" s="32">
        <f>(N12*1000)-E12-E13-E16-E18</f>
        <v>67785.244001684681</v>
      </c>
      <c r="O13" s="32">
        <f>(O12*1000)-F12-F13-F16-F18</f>
        <v>82518.607092431281</v>
      </c>
      <c r="P13" s="32">
        <f>(P12*1000)-G12-G13-G16-G18</f>
        <v>87982.576993251976</v>
      </c>
      <c r="Q13" s="33"/>
    </row>
    <row r="14" spans="1:17" ht="15" customHeight="1" x14ac:dyDescent="0.65">
      <c r="A14" s="36" t="s">
        <v>12</v>
      </c>
      <c r="B14" s="35" t="s">
        <v>4</v>
      </c>
      <c r="C14" s="32">
        <v>20615.904741416667</v>
      </c>
      <c r="D14" s="32">
        <v>22766.787739216667</v>
      </c>
      <c r="E14" s="32">
        <v>23154.047704150002</v>
      </c>
      <c r="F14" s="32">
        <v>24792.599279666669</v>
      </c>
      <c r="G14" s="32">
        <v>27992.335099027729</v>
      </c>
      <c r="H14" s="27"/>
      <c r="I14" s="27"/>
      <c r="Q14" s="33"/>
    </row>
    <row r="15" spans="1:17" ht="15" customHeight="1" x14ac:dyDescent="0.65">
      <c r="A15" s="32" t="s">
        <v>13</v>
      </c>
      <c r="B15" s="35" t="s">
        <v>4</v>
      </c>
      <c r="C15" s="32">
        <v>26795.179173066663</v>
      </c>
      <c r="D15" s="32">
        <v>27989.207723400003</v>
      </c>
      <c r="E15" s="32">
        <v>31916.375174516532</v>
      </c>
      <c r="F15" s="32">
        <v>43775.5505596</v>
      </c>
      <c r="G15" s="32">
        <v>53539.299770753183</v>
      </c>
      <c r="H15" s="28"/>
      <c r="I15" s="28"/>
      <c r="K15" s="32"/>
      <c r="L15" s="33"/>
      <c r="M15" s="33"/>
      <c r="N15" s="33"/>
      <c r="O15" s="33"/>
      <c r="P15" s="33"/>
    </row>
    <row r="16" spans="1:17" ht="15" customHeight="1" x14ac:dyDescent="0.65">
      <c r="A16" s="34" t="s">
        <v>14</v>
      </c>
      <c r="B16" s="35" t="s">
        <v>4</v>
      </c>
      <c r="C16" s="32">
        <v>118189.24269933332</v>
      </c>
      <c r="D16" s="32">
        <v>137265.13989979564</v>
      </c>
      <c r="E16" s="32">
        <v>140755.96959510088</v>
      </c>
      <c r="F16" s="32">
        <v>112341.52012492543</v>
      </c>
      <c r="G16" s="32">
        <v>88603.151099229246</v>
      </c>
      <c r="H16" s="28"/>
      <c r="I16" s="28"/>
      <c r="L16" s="33">
        <f>G12+G15</f>
        <v>575719.18980583339</v>
      </c>
      <c r="M16" s="33"/>
      <c r="N16" s="33"/>
      <c r="O16" s="33"/>
      <c r="P16" s="33"/>
    </row>
    <row r="17" spans="1:17" ht="15" customHeight="1" x14ac:dyDescent="0.65">
      <c r="A17" s="32" t="s">
        <v>15</v>
      </c>
      <c r="B17" s="35" t="s">
        <v>4</v>
      </c>
      <c r="C17" s="32">
        <v>66078.679095417174</v>
      </c>
      <c r="D17" s="32">
        <v>62549.16775127103</v>
      </c>
      <c r="E17" s="32">
        <v>33581.209616268323</v>
      </c>
      <c r="F17" s="32">
        <v>40300.868612269565</v>
      </c>
      <c r="G17" s="32">
        <v>33677.665180739379</v>
      </c>
      <c r="H17" s="28"/>
      <c r="I17" s="28"/>
      <c r="L17" s="33">
        <f>SUM(G14:G17)+G19-G15</f>
        <v>160959.66247820298</v>
      </c>
      <c r="M17" s="33"/>
      <c r="N17" s="33"/>
      <c r="O17" s="33"/>
      <c r="P17" s="33"/>
    </row>
    <row r="18" spans="1:17" ht="15" customHeight="1" x14ac:dyDescent="0.65">
      <c r="A18" s="34" t="s">
        <v>16</v>
      </c>
      <c r="B18" s="35" t="s">
        <v>4</v>
      </c>
      <c r="C18" s="32">
        <v>167079.5</v>
      </c>
      <c r="D18" s="32">
        <v>151804.60830540562</v>
      </c>
      <c r="E18" s="32">
        <v>149099</v>
      </c>
      <c r="F18" s="32">
        <v>158982</v>
      </c>
      <c r="G18" s="32">
        <v>166241.61351894814</v>
      </c>
      <c r="H18" s="28">
        <v>179000</v>
      </c>
      <c r="I18" s="28"/>
      <c r="L18" s="33"/>
      <c r="M18" s="33">
        <f>13519-9010</f>
        <v>4509</v>
      </c>
      <c r="N18" s="33"/>
      <c r="O18" s="33"/>
      <c r="P18" s="33"/>
    </row>
    <row r="19" spans="1:17" ht="15" customHeight="1" x14ac:dyDescent="0.65">
      <c r="A19" s="32" t="s">
        <v>17</v>
      </c>
      <c r="B19" s="35" t="s">
        <v>4</v>
      </c>
      <c r="C19" s="32">
        <v>8837.4918533129403</v>
      </c>
      <c r="D19" s="32">
        <v>8316.2307145958039</v>
      </c>
      <c r="E19" s="32">
        <v>12649.825189400417</v>
      </c>
      <c r="F19" s="32">
        <v>9530.7274032222722</v>
      </c>
      <c r="G19" s="32">
        <v>10686.511099206655</v>
      </c>
      <c r="H19" s="28"/>
      <c r="I19" s="28"/>
      <c r="L19" s="33"/>
      <c r="M19" s="33"/>
      <c r="N19" s="33"/>
      <c r="O19" s="33"/>
      <c r="P19" s="33"/>
    </row>
    <row r="20" spans="1:17" ht="15" customHeight="1" x14ac:dyDescent="0.65">
      <c r="A20" s="32"/>
      <c r="B20" s="35"/>
      <c r="C20" s="32"/>
      <c r="D20" s="32"/>
      <c r="E20" s="32"/>
      <c r="F20" s="32"/>
      <c r="G20" s="32"/>
      <c r="H20" s="28"/>
      <c r="I20" s="28"/>
      <c r="L20" s="33"/>
      <c r="M20" s="33"/>
      <c r="N20" s="33"/>
      <c r="O20" s="33"/>
      <c r="P20" s="33"/>
    </row>
    <row r="21" spans="1:17" ht="24.75" customHeight="1" x14ac:dyDescent="0.6">
      <c r="A21" s="6" t="s">
        <v>18</v>
      </c>
      <c r="B21" s="4" t="s">
        <v>2</v>
      </c>
      <c r="C21" s="5">
        <v>2015</v>
      </c>
      <c r="D21" s="5">
        <v>2016</v>
      </c>
      <c r="E21" s="5">
        <v>2017</v>
      </c>
      <c r="F21" s="5">
        <v>2018</v>
      </c>
      <c r="G21" s="5">
        <v>2019</v>
      </c>
      <c r="H21" s="5">
        <v>2020</v>
      </c>
      <c r="I21" s="5">
        <v>2021</v>
      </c>
    </row>
    <row r="22" spans="1:17" ht="15" customHeight="1" x14ac:dyDescent="0.65">
      <c r="A22" s="35" t="s">
        <v>3</v>
      </c>
      <c r="B22" s="35" t="s">
        <v>4</v>
      </c>
      <c r="C22" s="32">
        <f>SUM(C23:C25)</f>
        <v>4763990.6767338291</v>
      </c>
      <c r="D22" s="32">
        <f>SUM(D23:D25)</f>
        <v>4716621.3359553125</v>
      </c>
      <c r="E22" s="32">
        <f>SUM(E23:E25)</f>
        <v>4795414.4242398404</v>
      </c>
      <c r="F22" s="32">
        <f>SUM(F23:F25)</f>
        <v>4822179.6107744761</v>
      </c>
      <c r="G22" s="32">
        <f>SUM(G23:G25)</f>
        <v>4722345.8912667092</v>
      </c>
      <c r="H22" s="26"/>
      <c r="I22" s="26"/>
      <c r="K22" t="s">
        <v>5</v>
      </c>
      <c r="M22" s="33"/>
      <c r="N22" s="33"/>
      <c r="O22" s="33"/>
      <c r="P22" s="33"/>
      <c r="Q22" s="33"/>
    </row>
    <row r="23" spans="1:17" ht="15" customHeight="1" x14ac:dyDescent="0.65">
      <c r="A23" s="32" t="s">
        <v>6</v>
      </c>
      <c r="B23" s="35" t="s">
        <v>4</v>
      </c>
      <c r="C23" s="32">
        <v>20441.658636666667</v>
      </c>
      <c r="D23" s="32">
        <v>22574.404196666666</v>
      </c>
      <c r="E23" s="32">
        <v>22958.457610000001</v>
      </c>
      <c r="F23" s="32">
        <v>24583.191306666668</v>
      </c>
      <c r="G23" s="32">
        <v>27755.915457878669</v>
      </c>
      <c r="H23" s="26"/>
      <c r="I23" s="26"/>
      <c r="L23">
        <v>194</v>
      </c>
      <c r="M23">
        <v>218</v>
      </c>
      <c r="N23">
        <v>203</v>
      </c>
      <c r="O23">
        <v>180</v>
      </c>
      <c r="P23">
        <v>223</v>
      </c>
      <c r="Q23" s="33"/>
    </row>
    <row r="24" spans="1:17" ht="15" customHeight="1" x14ac:dyDescent="0.65">
      <c r="A24" s="32" t="s">
        <v>7</v>
      </c>
      <c r="B24" s="35" t="s">
        <v>4</v>
      </c>
      <c r="C24" s="32">
        <v>1812040.9400834837</v>
      </c>
      <c r="D24" s="32">
        <v>1780964.5254350891</v>
      </c>
      <c r="E24" s="32">
        <v>1831668.6219580765</v>
      </c>
      <c r="F24" s="32">
        <v>1854685.1967106909</v>
      </c>
      <c r="G24" s="32">
        <v>1812706.9999999998</v>
      </c>
      <c r="H24" s="26"/>
      <c r="I24" s="26"/>
      <c r="L24" s="32">
        <f>(L23*1000)-C57</f>
        <v>14338.40394905844</v>
      </c>
      <c r="M24" s="32">
        <f>(M23*1000)-D57</f>
        <v>14118.638908066612</v>
      </c>
      <c r="N24" s="32">
        <f>(N23*1000)-E57</f>
        <v>14094.933872665104</v>
      </c>
      <c r="O24" s="32">
        <f>(O23*1000)-F57</f>
        <v>16501.028149503778</v>
      </c>
      <c r="P24" s="32">
        <f>(P23*1000)-G57</f>
        <v>15662.497691759374</v>
      </c>
      <c r="Q24" s="33"/>
    </row>
    <row r="25" spans="1:17" ht="15" customHeight="1" x14ac:dyDescent="0.65">
      <c r="A25" s="32" t="s">
        <v>8</v>
      </c>
      <c r="B25" s="35" t="s">
        <v>4</v>
      </c>
      <c r="C25" s="32">
        <v>2931508.0780136785</v>
      </c>
      <c r="D25" s="32">
        <v>2913082.4063235563</v>
      </c>
      <c r="E25" s="32">
        <v>2940787.3446717639</v>
      </c>
      <c r="F25" s="32">
        <v>2942911.2227571183</v>
      </c>
      <c r="G25" s="32">
        <v>2881882.9758088305</v>
      </c>
      <c r="H25" s="27"/>
      <c r="I25" s="27"/>
      <c r="M25" s="33"/>
      <c r="N25" s="33"/>
      <c r="O25" s="33"/>
      <c r="P25" s="33"/>
      <c r="Q25" s="33"/>
    </row>
    <row r="26" spans="1:17" ht="15" customHeight="1" x14ac:dyDescent="0.65">
      <c r="L26" s="33"/>
      <c r="M26" s="33"/>
      <c r="N26" s="33"/>
      <c r="O26" s="33"/>
      <c r="P26" s="33"/>
    </row>
    <row r="27" spans="1:17" ht="15" customHeight="1" x14ac:dyDescent="0.6">
      <c r="A27" s="6" t="s">
        <v>19</v>
      </c>
      <c r="B27" s="4" t="s">
        <v>2</v>
      </c>
      <c r="C27" s="5">
        <v>2015</v>
      </c>
      <c r="D27" s="5">
        <v>2016</v>
      </c>
      <c r="E27" s="5">
        <v>2017</v>
      </c>
      <c r="F27" s="5">
        <v>2018</v>
      </c>
      <c r="G27" s="5">
        <v>2019</v>
      </c>
      <c r="H27" s="5">
        <v>2020</v>
      </c>
      <c r="I27" s="5">
        <v>2021</v>
      </c>
    </row>
    <row r="28" spans="1:17" ht="15" customHeight="1" x14ac:dyDescent="0.65">
      <c r="A28" s="35" t="s">
        <v>3</v>
      </c>
      <c r="B28" s="35" t="s">
        <v>4</v>
      </c>
      <c r="C28" s="32">
        <f>SUM(C29:C34)</f>
        <v>1998359.9071267762</v>
      </c>
      <c r="D28" s="32">
        <f>SUM(D29:D34)</f>
        <v>1986578.5495812562</v>
      </c>
      <c r="E28" s="32">
        <f>SUM(E29:E34)</f>
        <v>2024053.8991116346</v>
      </c>
      <c r="F28" s="32">
        <f>SUM(F29:F34)</f>
        <v>2022534.9274018388</v>
      </c>
      <c r="G28" s="32">
        <f>SUM(G29:G34)</f>
        <v>2024369.7415438371</v>
      </c>
      <c r="H28" s="26"/>
      <c r="I28" s="26"/>
      <c r="K28" t="s">
        <v>5</v>
      </c>
      <c r="M28" s="33"/>
      <c r="N28" s="33"/>
      <c r="O28" s="33"/>
      <c r="P28" s="33"/>
      <c r="Q28" s="33"/>
    </row>
    <row r="29" spans="1:17" ht="15" customHeight="1" x14ac:dyDescent="0.65">
      <c r="A29" s="32" t="s">
        <v>20</v>
      </c>
      <c r="B29" s="35" t="s">
        <v>4</v>
      </c>
      <c r="C29" s="32">
        <v>716.54013156000008</v>
      </c>
      <c r="D29" s="32">
        <v>773.97152472000005</v>
      </c>
      <c r="E29" s="32">
        <v>902.32273404000011</v>
      </c>
      <c r="F29" s="32">
        <v>905.21219079999992</v>
      </c>
      <c r="G29" s="32">
        <v>956.99099012000011</v>
      </c>
      <c r="H29" s="26"/>
      <c r="I29" s="26"/>
      <c r="M29" s="33"/>
      <c r="N29" s="33"/>
      <c r="O29" s="33"/>
      <c r="P29" s="33"/>
      <c r="Q29" s="33"/>
    </row>
    <row r="30" spans="1:17" ht="15" customHeight="1" x14ac:dyDescent="0.65">
      <c r="A30" s="32" t="s">
        <v>21</v>
      </c>
      <c r="B30" s="35" t="s">
        <v>4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26"/>
      <c r="I30" s="26"/>
      <c r="L30" s="33"/>
      <c r="M30" s="33"/>
      <c r="N30" s="33"/>
      <c r="O30" s="33"/>
      <c r="P30" s="33"/>
      <c r="Q30" s="33"/>
    </row>
    <row r="31" spans="1:17" ht="15" customHeight="1" x14ac:dyDescent="0.6">
      <c r="A31" s="32" t="s">
        <v>22</v>
      </c>
      <c r="B31" s="35" t="s">
        <v>4</v>
      </c>
      <c r="C31" s="32">
        <v>1807454.3303151615</v>
      </c>
      <c r="D31" s="32">
        <v>1772144.3406546167</v>
      </c>
      <c r="E31" s="32">
        <v>1823880.9574118794</v>
      </c>
      <c r="F31" s="32">
        <v>1845663.8814134931</v>
      </c>
      <c r="G31" s="32">
        <v>1805668.4014232741</v>
      </c>
      <c r="H31" s="27"/>
      <c r="I31" s="27"/>
    </row>
    <row r="32" spans="1:17" ht="15" customHeight="1" x14ac:dyDescent="0.6">
      <c r="A32" s="32" t="s">
        <v>23</v>
      </c>
      <c r="B32" s="35" t="s">
        <v>4</v>
      </c>
      <c r="C32" s="32">
        <v>5673.5727014029844</v>
      </c>
      <c r="D32" s="32">
        <v>5757.3938904590332</v>
      </c>
      <c r="E32" s="32">
        <v>5574.7994899601972</v>
      </c>
      <c r="F32" s="32">
        <v>6195.7835853715542</v>
      </c>
      <c r="G32" s="32">
        <v>5552.8913043874636</v>
      </c>
      <c r="H32" s="28"/>
      <c r="I32" s="28"/>
      <c r="L32" s="32">
        <f>F29+F32+F34</f>
        <v>13372.074137849555</v>
      </c>
      <c r="M32" s="32">
        <f>G29+G32+G34</f>
        <v>11363.837812322461</v>
      </c>
    </row>
    <row r="33" spans="1:17" ht="15" customHeight="1" x14ac:dyDescent="0.6">
      <c r="A33" s="34" t="s">
        <v>24</v>
      </c>
      <c r="B33" s="35" t="s">
        <v>4</v>
      </c>
      <c r="C33" s="32">
        <v>179661.59605094156</v>
      </c>
      <c r="D33" s="32">
        <v>203881.36109193339</v>
      </c>
      <c r="E33" s="32">
        <v>188905.0661273349</v>
      </c>
      <c r="F33" s="32">
        <v>163498.97185049622</v>
      </c>
      <c r="G33" s="32">
        <v>207337.50230824063</v>
      </c>
      <c r="H33" s="28"/>
      <c r="I33" s="28"/>
      <c r="L33" s="32"/>
    </row>
    <row r="34" spans="1:17" ht="15" customHeight="1" x14ac:dyDescent="0.6">
      <c r="A34" s="32" t="s">
        <v>25</v>
      </c>
      <c r="B34" s="35" t="s">
        <v>4</v>
      </c>
      <c r="C34" s="32">
        <v>4853.8679277100009</v>
      </c>
      <c r="D34" s="32">
        <v>4021.4824195269994</v>
      </c>
      <c r="E34" s="32">
        <v>4790.7533484200003</v>
      </c>
      <c r="F34" s="32">
        <v>6271.078361678</v>
      </c>
      <c r="G34" s="32">
        <v>4853.9555178149985</v>
      </c>
      <c r="H34" s="28"/>
      <c r="I34" s="28"/>
    </row>
    <row r="35" spans="1:17" ht="15" customHeight="1" x14ac:dyDescent="0.6"/>
    <row r="36" spans="1:17" ht="15" customHeight="1" x14ac:dyDescent="0.6">
      <c r="A36" s="6" t="s">
        <v>8</v>
      </c>
      <c r="B36" s="4" t="s">
        <v>2</v>
      </c>
      <c r="C36" s="5">
        <v>2015</v>
      </c>
      <c r="D36" s="5">
        <v>2016</v>
      </c>
      <c r="E36" s="5">
        <v>2017</v>
      </c>
      <c r="F36" s="5">
        <v>2018</v>
      </c>
      <c r="G36" s="5">
        <v>2019</v>
      </c>
      <c r="H36" s="5">
        <v>2020</v>
      </c>
      <c r="I36" s="5"/>
    </row>
    <row r="37" spans="1:17" ht="15" customHeight="1" x14ac:dyDescent="0.65">
      <c r="A37" s="35" t="s">
        <v>3</v>
      </c>
      <c r="B37" s="35" t="s">
        <v>4</v>
      </c>
      <c r="C37" s="32">
        <f t="shared" ref="C37:H37" si="2">SUM(C38:C41)</f>
        <v>652566.76991572639</v>
      </c>
      <c r="D37" s="32">
        <f t="shared" si="2"/>
        <v>654297.80497823202</v>
      </c>
      <c r="E37" s="32">
        <f t="shared" si="2"/>
        <v>655941.51855125418</v>
      </c>
      <c r="F37" s="32">
        <f t="shared" si="2"/>
        <v>631905.28155984334</v>
      </c>
      <c r="G37" s="32">
        <f t="shared" si="2"/>
        <v>618847.81243340939</v>
      </c>
      <c r="H37" s="26">
        <f t="shared" si="2"/>
        <v>618000</v>
      </c>
      <c r="I37" s="26"/>
      <c r="K37" t="s">
        <v>5</v>
      </c>
      <c r="M37" s="33"/>
      <c r="N37" s="33"/>
      <c r="O37" s="33"/>
      <c r="P37" s="33"/>
      <c r="Q37" s="33"/>
    </row>
    <row r="38" spans="1:17" ht="15" customHeight="1" x14ac:dyDescent="0.65">
      <c r="A38" s="34" t="s">
        <v>26</v>
      </c>
      <c r="B38" s="35" t="s">
        <v>4</v>
      </c>
      <c r="C38" s="32">
        <v>313841.41674597241</v>
      </c>
      <c r="D38" s="32">
        <v>318061.82815993711</v>
      </c>
      <c r="E38" s="32">
        <v>311008.70553855988</v>
      </c>
      <c r="F38" s="32">
        <v>301140.44393239036</v>
      </c>
      <c r="G38" s="32">
        <v>296707.11455164751</v>
      </c>
      <c r="H38" s="26">
        <v>291000</v>
      </c>
      <c r="I38" s="26"/>
      <c r="M38" s="33"/>
      <c r="N38" s="33"/>
      <c r="O38" s="33"/>
      <c r="P38" s="33"/>
      <c r="Q38" s="33"/>
    </row>
    <row r="39" spans="1:17" ht="15" customHeight="1" x14ac:dyDescent="0.65">
      <c r="A39" s="32" t="s">
        <v>27</v>
      </c>
      <c r="B39" s="35" t="s">
        <v>4</v>
      </c>
      <c r="C39" s="32">
        <v>77802.528260834253</v>
      </c>
      <c r="D39" s="32">
        <v>79189.008316949286</v>
      </c>
      <c r="E39" s="32">
        <v>78158.248288984032</v>
      </c>
      <c r="F39" s="32">
        <v>75781.792948553033</v>
      </c>
      <c r="G39" s="32">
        <v>73985.76584036625</v>
      </c>
      <c r="H39" s="26">
        <v>74000</v>
      </c>
      <c r="I39" s="26"/>
      <c r="L39" s="33"/>
      <c r="M39" s="33"/>
      <c r="N39" s="33"/>
      <c r="O39" s="33"/>
      <c r="P39" s="33"/>
      <c r="Q39" s="33"/>
    </row>
    <row r="40" spans="1:17" ht="15" customHeight="1" x14ac:dyDescent="0.6">
      <c r="A40" s="34" t="s">
        <v>28</v>
      </c>
      <c r="B40" s="35" t="s">
        <v>4</v>
      </c>
      <c r="C40" s="32">
        <v>257446.31120891974</v>
      </c>
      <c r="D40" s="32">
        <v>254138.0214346789</v>
      </c>
      <c r="E40" s="32">
        <v>264404.79512371024</v>
      </c>
      <c r="F40" s="32">
        <v>251788.71581223322</v>
      </c>
      <c r="G40" s="32">
        <v>242288.87697472898</v>
      </c>
      <c r="H40" s="27">
        <v>248000</v>
      </c>
      <c r="I40" s="27"/>
      <c r="L40" s="32">
        <f>G41+G39</f>
        <v>79851.820907032918</v>
      </c>
    </row>
    <row r="41" spans="1:17" ht="15" customHeight="1" x14ac:dyDescent="0.6">
      <c r="A41" s="32" t="s">
        <v>29</v>
      </c>
      <c r="B41" s="35" t="s">
        <v>4</v>
      </c>
      <c r="C41" s="32">
        <v>3476.5137</v>
      </c>
      <c r="D41" s="32">
        <v>2908.9470666666662</v>
      </c>
      <c r="E41" s="32">
        <v>2369.7695999999996</v>
      </c>
      <c r="F41" s="32">
        <v>3194.3288666666658</v>
      </c>
      <c r="G41" s="32">
        <v>5866.0550666666659</v>
      </c>
      <c r="H41" s="28">
        <v>5000</v>
      </c>
      <c r="I41" s="28"/>
    </row>
    <row r="42" spans="1:17" ht="15" customHeight="1" x14ac:dyDescent="0.6"/>
    <row r="43" spans="1:17" ht="15" customHeight="1" x14ac:dyDescent="0.6">
      <c r="A43" s="6" t="s">
        <v>9</v>
      </c>
      <c r="B43" s="4" t="s">
        <v>2</v>
      </c>
      <c r="C43" s="5">
        <v>2015</v>
      </c>
      <c r="D43" s="5">
        <v>2016</v>
      </c>
      <c r="E43" s="5">
        <v>2017</v>
      </c>
      <c r="F43" s="5">
        <v>2018</v>
      </c>
      <c r="G43" s="5">
        <v>2019</v>
      </c>
      <c r="H43" s="5">
        <v>2020</v>
      </c>
      <c r="I43" s="5"/>
    </row>
    <row r="44" spans="1:17" ht="15" customHeight="1" x14ac:dyDescent="0.65">
      <c r="A44" s="35" t="s">
        <v>3</v>
      </c>
      <c r="B44" s="35" t="s">
        <v>4</v>
      </c>
      <c r="C44" s="32">
        <f t="shared" ref="C44:H44" si="3">SUM(C45:C48)</f>
        <v>260890.73935933568</v>
      </c>
      <c r="D44" s="32">
        <f t="shared" si="3"/>
        <v>248247.03614153631</v>
      </c>
      <c r="E44" s="32">
        <f t="shared" si="3"/>
        <v>244902.7928943017</v>
      </c>
      <c r="F44" s="32">
        <f t="shared" si="3"/>
        <v>254858.26305046614</v>
      </c>
      <c r="G44" s="32">
        <f t="shared" si="3"/>
        <v>224215.10313298739</v>
      </c>
      <c r="H44" s="26">
        <f t="shared" si="3"/>
        <v>246000</v>
      </c>
      <c r="I44" s="26"/>
      <c r="K44" t="s">
        <v>5</v>
      </c>
      <c r="M44" s="33"/>
      <c r="N44" s="33"/>
      <c r="O44" s="33"/>
      <c r="P44" s="33"/>
      <c r="Q44" s="33"/>
    </row>
    <row r="45" spans="1:17" ht="15" customHeight="1" x14ac:dyDescent="0.65">
      <c r="A45" s="34" t="s">
        <v>30</v>
      </c>
      <c r="B45" s="35" t="s">
        <v>4</v>
      </c>
      <c r="C45" s="32">
        <v>200147.98023607081</v>
      </c>
      <c r="D45" s="32">
        <v>191971.50498230336</v>
      </c>
      <c r="E45" s="32">
        <v>184804.85083694773</v>
      </c>
      <c r="F45" s="32">
        <v>192831.75217185242</v>
      </c>
      <c r="G45" s="32">
        <v>162892.72538557593</v>
      </c>
      <c r="H45" s="26">
        <v>187000</v>
      </c>
      <c r="I45" s="26"/>
      <c r="M45" s="33"/>
      <c r="N45" s="33"/>
      <c r="O45" s="33"/>
      <c r="P45" s="33"/>
      <c r="Q45" s="33"/>
    </row>
    <row r="46" spans="1:17" ht="15" customHeight="1" x14ac:dyDescent="0.65">
      <c r="A46" s="32" t="s">
        <v>31</v>
      </c>
      <c r="B46" s="35" t="s">
        <v>4</v>
      </c>
      <c r="C46" s="32">
        <v>3653.6161280000006</v>
      </c>
      <c r="D46" s="32">
        <v>3912.2494208000003</v>
      </c>
      <c r="E46" s="32">
        <v>3722.8464025600006</v>
      </c>
      <c r="F46" s="32">
        <v>4117.4077516799998</v>
      </c>
      <c r="G46" s="32">
        <v>4093.3116101119999</v>
      </c>
      <c r="H46" s="26">
        <v>5000</v>
      </c>
      <c r="I46" s="26"/>
      <c r="L46" s="33"/>
      <c r="M46" s="33"/>
      <c r="N46" s="33"/>
      <c r="O46" s="33"/>
      <c r="P46" s="33"/>
      <c r="Q46" s="33"/>
    </row>
    <row r="47" spans="1:17" ht="15" customHeight="1" x14ac:dyDescent="0.6">
      <c r="A47" s="32" t="s">
        <v>32</v>
      </c>
      <c r="B47" s="35" t="s">
        <v>4</v>
      </c>
      <c r="C47" s="32">
        <v>7099.5091363881338</v>
      </c>
      <c r="D47" s="32">
        <v>7426.8464206791741</v>
      </c>
      <c r="E47" s="32">
        <v>7798.7273868057064</v>
      </c>
      <c r="F47" s="32">
        <v>6825.7945909720975</v>
      </c>
      <c r="G47" s="32">
        <v>9374.0210721608019</v>
      </c>
      <c r="H47" s="27">
        <v>6000</v>
      </c>
      <c r="I47" s="27"/>
    </row>
    <row r="48" spans="1:17" ht="15" customHeight="1" x14ac:dyDescent="0.6">
      <c r="A48" s="32" t="s">
        <v>33</v>
      </c>
      <c r="B48" s="35" t="s">
        <v>4</v>
      </c>
      <c r="C48" s="32">
        <v>49989.633858876747</v>
      </c>
      <c r="D48" s="32">
        <v>44936.435317753763</v>
      </c>
      <c r="E48" s="32">
        <v>48576.368267988255</v>
      </c>
      <c r="F48" s="32">
        <v>51083.308535961609</v>
      </c>
      <c r="G48" s="32">
        <v>47855.045065138656</v>
      </c>
      <c r="H48" s="28">
        <v>48000</v>
      </c>
      <c r="I48" s="28"/>
    </row>
    <row r="50" spans="1:9" x14ac:dyDescent="0.6">
      <c r="A50" s="6" t="s">
        <v>34</v>
      </c>
      <c r="B50" s="4" t="s">
        <v>2</v>
      </c>
      <c r="C50" s="5">
        <v>2015</v>
      </c>
      <c r="D50" s="5">
        <v>2016</v>
      </c>
      <c r="E50" s="5">
        <v>2017</v>
      </c>
      <c r="F50" s="5">
        <v>2018</v>
      </c>
      <c r="G50" s="5">
        <v>2019</v>
      </c>
      <c r="H50" s="5">
        <v>2020</v>
      </c>
      <c r="I50" s="5"/>
    </row>
    <row r="51" spans="1:9" x14ac:dyDescent="0.6">
      <c r="A51" s="35" t="s">
        <v>3</v>
      </c>
      <c r="B51" s="35" t="s">
        <v>4</v>
      </c>
      <c r="C51" s="32">
        <f t="shared" ref="C51:H51" si="4">SUM(C52:C62)</f>
        <v>2931457.509275062</v>
      </c>
      <c r="D51" s="32">
        <f t="shared" si="4"/>
        <v>2913544.8411197681</v>
      </c>
      <c r="E51" s="32">
        <f t="shared" si="4"/>
        <v>2940844.3114455556</v>
      </c>
      <c r="F51" s="32">
        <f t="shared" si="4"/>
        <v>2943763.5446103099</v>
      </c>
      <c r="G51" s="32">
        <f t="shared" si="4"/>
        <v>2883062.9155663969</v>
      </c>
      <c r="H51" s="26">
        <f t="shared" si="4"/>
        <v>2543147.0746850111</v>
      </c>
      <c r="I51" s="26"/>
    </row>
    <row r="52" spans="1:9" x14ac:dyDescent="0.6">
      <c r="A52" s="35" t="str">
        <f>A12</f>
        <v>Fiskiskip</v>
      </c>
      <c r="B52" s="35" t="s">
        <v>4</v>
      </c>
      <c r="C52" s="32">
        <f t="shared" ref="C52:G53" si="5">C12</f>
        <v>624190.13463029347</v>
      </c>
      <c r="D52" s="32">
        <f t="shared" si="5"/>
        <v>521497.72702248802</v>
      </c>
      <c r="E52" s="32">
        <f t="shared" si="5"/>
        <v>534065.72982284508</v>
      </c>
      <c r="F52" s="32">
        <f t="shared" si="5"/>
        <v>551731.62428879994</v>
      </c>
      <c r="G52" s="32">
        <f t="shared" si="5"/>
        <v>522179.89003508026</v>
      </c>
      <c r="H52" s="26">
        <f t="shared" ref="H52" si="6">H12</f>
        <v>509500</v>
      </c>
      <c r="I52" s="26"/>
    </row>
    <row r="53" spans="1:9" x14ac:dyDescent="0.6">
      <c r="A53" s="35" t="str">
        <f>A13</f>
        <v>Vegasamgöngur</v>
      </c>
      <c r="B53" s="35" t="s">
        <v>4</v>
      </c>
      <c r="C53" s="32">
        <f t="shared" si="5"/>
        <v>820387.12813915114</v>
      </c>
      <c r="D53" s="32">
        <f t="shared" si="5"/>
        <v>895309.07609811472</v>
      </c>
      <c r="E53" s="32">
        <f t="shared" si="5"/>
        <v>945294.05658036924</v>
      </c>
      <c r="F53" s="32">
        <f t="shared" si="5"/>
        <v>971426.24849384336</v>
      </c>
      <c r="G53" s="32">
        <f t="shared" si="5"/>
        <v>951992.76835349039</v>
      </c>
      <c r="H53" s="26">
        <f t="shared" ref="H53" si="7">H13</f>
        <v>887000</v>
      </c>
      <c r="I53" s="26"/>
    </row>
    <row r="54" spans="1:9" x14ac:dyDescent="0.6">
      <c r="A54" s="35" t="str">
        <f>A16</f>
        <v>Vélar og tæki</v>
      </c>
      <c r="B54" s="35" t="s">
        <v>4</v>
      </c>
      <c r="C54" s="32">
        <f t="shared" ref="C54:H54" si="8">C16</f>
        <v>118189.24269933332</v>
      </c>
      <c r="D54" s="32">
        <f t="shared" si="8"/>
        <v>137265.13989979564</v>
      </c>
      <c r="E54" s="32">
        <f t="shared" si="8"/>
        <v>140755.96959510088</v>
      </c>
      <c r="F54" s="32">
        <f t="shared" si="8"/>
        <v>112341.52012492543</v>
      </c>
      <c r="G54" s="32">
        <f t="shared" si="8"/>
        <v>88603.151099229246</v>
      </c>
      <c r="H54" s="26">
        <f t="shared" si="8"/>
        <v>0</v>
      </c>
      <c r="I54" s="26"/>
    </row>
    <row r="55" spans="1:9" x14ac:dyDescent="0.6">
      <c r="A55" s="35" t="str">
        <f>A18</f>
        <v>Jarðvarmavirkjanir</v>
      </c>
      <c r="B55" s="35" t="s">
        <v>4</v>
      </c>
      <c r="C55" s="32">
        <f t="shared" ref="C55:H55" si="9">C18</f>
        <v>167079.5</v>
      </c>
      <c r="D55" s="32">
        <f t="shared" si="9"/>
        <v>151804.60830540562</v>
      </c>
      <c r="E55" s="32">
        <f t="shared" si="9"/>
        <v>149099</v>
      </c>
      <c r="F55" s="32">
        <f t="shared" si="9"/>
        <v>158982</v>
      </c>
      <c r="G55" s="32">
        <f t="shared" si="9"/>
        <v>166241.61351894814</v>
      </c>
      <c r="H55" s="26">
        <f t="shared" si="9"/>
        <v>179000</v>
      </c>
      <c r="I55" s="26"/>
    </row>
    <row r="56" spans="1:9" x14ac:dyDescent="0.6">
      <c r="A56" s="35" t="s">
        <v>35</v>
      </c>
      <c r="B56" s="35" t="s">
        <v>4</v>
      </c>
      <c r="C56" s="32">
        <v>94153.99453122195</v>
      </c>
      <c r="D56" s="32">
        <v>87123.448674195883</v>
      </c>
      <c r="E56" s="32">
        <v>67785.244001684681</v>
      </c>
      <c r="F56" s="32">
        <v>82518.607092431281</v>
      </c>
      <c r="G56" s="32">
        <v>87982.576993251976</v>
      </c>
      <c r="H56" s="26">
        <v>87983.576993252005</v>
      </c>
      <c r="I56" s="26"/>
    </row>
    <row r="57" spans="1:9" x14ac:dyDescent="0.6">
      <c r="A57" s="35" t="str">
        <f>A33</f>
        <v>F-gös (m.a. kælimiðlar)</v>
      </c>
      <c r="B57" s="35" t="s">
        <v>4</v>
      </c>
      <c r="C57" s="32">
        <f t="shared" ref="C57:H57" si="10">C33</f>
        <v>179661.59605094156</v>
      </c>
      <c r="D57" s="32">
        <f t="shared" si="10"/>
        <v>203881.36109193339</v>
      </c>
      <c r="E57" s="32">
        <f t="shared" si="10"/>
        <v>188905.0661273349</v>
      </c>
      <c r="F57" s="32">
        <f t="shared" si="10"/>
        <v>163498.97185049622</v>
      </c>
      <c r="G57" s="32">
        <f t="shared" si="10"/>
        <v>207337.50230824063</v>
      </c>
      <c r="H57" s="26">
        <f t="shared" si="10"/>
        <v>0</v>
      </c>
      <c r="I57" s="26"/>
    </row>
    <row r="58" spans="1:9" x14ac:dyDescent="0.6">
      <c r="A58" s="35" t="s">
        <v>36</v>
      </c>
      <c r="B58" s="35" t="s">
        <v>4</v>
      </c>
      <c r="C58" s="32">
        <v>14338.40394905844</v>
      </c>
      <c r="D58" s="32">
        <v>14118.638908066612</v>
      </c>
      <c r="E58" s="32">
        <v>14094.933872665104</v>
      </c>
      <c r="F58" s="32">
        <v>16501.028149503778</v>
      </c>
      <c r="G58" s="32">
        <v>15662.497691759374</v>
      </c>
      <c r="H58" s="26">
        <v>15663.497691759399</v>
      </c>
      <c r="I58" s="26"/>
    </row>
    <row r="59" spans="1:9" x14ac:dyDescent="0.6">
      <c r="A59" s="35" t="str">
        <f>A38</f>
        <v>Iðragerjun</v>
      </c>
      <c r="B59" s="35" t="s">
        <v>4</v>
      </c>
      <c r="C59" s="32">
        <f t="shared" ref="C59:H59" si="11">C38</f>
        <v>313841.41674597241</v>
      </c>
      <c r="D59" s="32">
        <f t="shared" si="11"/>
        <v>318061.82815993711</v>
      </c>
      <c r="E59" s="32">
        <f t="shared" si="11"/>
        <v>311008.70553855988</v>
      </c>
      <c r="F59" s="32">
        <f t="shared" si="11"/>
        <v>301140.44393239036</v>
      </c>
      <c r="G59" s="32">
        <f t="shared" si="11"/>
        <v>296707.11455164751</v>
      </c>
      <c r="H59" s="26">
        <f t="shared" si="11"/>
        <v>291000</v>
      </c>
      <c r="I59" s="26"/>
    </row>
    <row r="60" spans="1:9" x14ac:dyDescent="0.6">
      <c r="A60" s="35" t="str">
        <f>A40</f>
        <v>Nytjajarðvegur</v>
      </c>
      <c r="B60" s="35" t="s">
        <v>4</v>
      </c>
      <c r="C60" s="32">
        <f t="shared" ref="C60:H60" si="12">C40</f>
        <v>257446.31120891974</v>
      </c>
      <c r="D60" s="32">
        <f t="shared" si="12"/>
        <v>254138.0214346789</v>
      </c>
      <c r="E60" s="32">
        <f t="shared" si="12"/>
        <v>264404.79512371024</v>
      </c>
      <c r="F60" s="32">
        <f t="shared" si="12"/>
        <v>251788.71581223322</v>
      </c>
      <c r="G60" s="32">
        <f t="shared" si="12"/>
        <v>242288.87697472898</v>
      </c>
      <c r="H60" s="26">
        <f t="shared" si="12"/>
        <v>248000</v>
      </c>
      <c r="I60" s="26"/>
    </row>
    <row r="61" spans="1:9" x14ac:dyDescent="0.6">
      <c r="A61" s="35" t="str">
        <f>A45</f>
        <v>Urðun úrgangs</v>
      </c>
      <c r="B61" s="35" t="s">
        <v>4</v>
      </c>
      <c r="C61" s="32">
        <f t="shared" ref="C61:H61" si="13">C45</f>
        <v>200147.98023607081</v>
      </c>
      <c r="D61" s="32">
        <f t="shared" si="13"/>
        <v>191971.50498230336</v>
      </c>
      <c r="E61" s="32">
        <f t="shared" si="13"/>
        <v>184804.85083694773</v>
      </c>
      <c r="F61" s="32">
        <f t="shared" si="13"/>
        <v>192831.75217185242</v>
      </c>
      <c r="G61" s="32">
        <f t="shared" si="13"/>
        <v>162892.72538557593</v>
      </c>
      <c r="H61" s="26">
        <f t="shared" si="13"/>
        <v>187000</v>
      </c>
      <c r="I61" s="26"/>
    </row>
    <row r="62" spans="1:9" x14ac:dyDescent="0.6">
      <c r="A62" t="s">
        <v>17</v>
      </c>
      <c r="B62" s="35" t="s">
        <v>4</v>
      </c>
      <c r="C62" s="32">
        <f t="shared" ref="C62:H62" si="14">C48+C47+C46+C41+C39</f>
        <v>142021.80108409913</v>
      </c>
      <c r="D62" s="32">
        <f t="shared" si="14"/>
        <v>138373.4865428489</v>
      </c>
      <c r="E62" s="32">
        <f t="shared" si="14"/>
        <v>140625.959946338</v>
      </c>
      <c r="F62" s="32">
        <f t="shared" si="14"/>
        <v>141002.63269383341</v>
      </c>
      <c r="G62" s="32">
        <f t="shared" si="14"/>
        <v>141174.19865444436</v>
      </c>
      <c r="H62" s="26">
        <f t="shared" si="14"/>
        <v>138000</v>
      </c>
      <c r="I62" s="26"/>
    </row>
    <row r="64" spans="1:9" ht="24.5" x14ac:dyDescent="0.6">
      <c r="A64" s="6" t="s">
        <v>37</v>
      </c>
      <c r="B64" s="4" t="s">
        <v>2</v>
      </c>
      <c r="C64" s="5">
        <v>2015</v>
      </c>
      <c r="D64" s="5">
        <v>2016</v>
      </c>
      <c r="E64" s="5">
        <v>2017</v>
      </c>
      <c r="F64" s="5">
        <v>2018</v>
      </c>
      <c r="G64" s="5">
        <v>2019</v>
      </c>
      <c r="H64" s="5">
        <v>2020</v>
      </c>
      <c r="I64" s="5"/>
    </row>
    <row r="65" spans="1:9" x14ac:dyDescent="0.6">
      <c r="A65" s="35" t="s">
        <v>3</v>
      </c>
      <c r="B65" s="35" t="s">
        <v>4</v>
      </c>
      <c r="C65" s="32">
        <f>SUM(C66:C76)</f>
        <v>1812038.5541451485</v>
      </c>
      <c r="D65" s="32">
        <f>SUM(D66:D76)</f>
        <v>1780916.6888162368</v>
      </c>
      <c r="E65" s="32">
        <f>SUM(E66:E76)</f>
        <v>1831255.2153477697</v>
      </c>
      <c r="F65" s="32">
        <f>SUM(F66:F76)</f>
        <v>1854104.123553338</v>
      </c>
      <c r="G65" s="32">
        <f>SUM(G66:G76)</f>
        <v>1811822.5661452455</v>
      </c>
      <c r="H65" s="26"/>
      <c r="I65" s="26"/>
    </row>
    <row r="66" spans="1:9" x14ac:dyDescent="0.6">
      <c r="A66" s="35" t="s">
        <v>38</v>
      </c>
      <c r="B66" s="35" t="s">
        <v>4</v>
      </c>
      <c r="C66" s="32">
        <v>7877.342329986669</v>
      </c>
      <c r="D66" s="32">
        <v>12373.307299119999</v>
      </c>
      <c r="E66" s="32">
        <v>10500.173123390434</v>
      </c>
      <c r="F66" s="32">
        <v>11597.262139844523</v>
      </c>
      <c r="G66" s="32">
        <v>9973.4661452456712</v>
      </c>
      <c r="H66" s="26"/>
      <c r="I66" s="26"/>
    </row>
    <row r="67" spans="1:9" x14ac:dyDescent="0.6">
      <c r="A67" s="35" t="s">
        <v>39</v>
      </c>
      <c r="B67" s="35" t="s">
        <v>4</v>
      </c>
      <c r="C67" s="32">
        <v>400915.9615968545</v>
      </c>
      <c r="D67" s="32">
        <v>405165.45580981276</v>
      </c>
      <c r="E67" s="32">
        <v>428320.83524965425</v>
      </c>
      <c r="F67" s="32">
        <v>452243.36470046622</v>
      </c>
      <c r="G67" s="32">
        <v>428793</v>
      </c>
      <c r="H67" s="26"/>
      <c r="I67" s="26"/>
    </row>
    <row r="68" spans="1:9" x14ac:dyDescent="0.6">
      <c r="A68" s="35" t="s">
        <v>40</v>
      </c>
      <c r="B68" s="35" t="s">
        <v>4</v>
      </c>
      <c r="C68" s="32">
        <v>1403245.2502183074</v>
      </c>
      <c r="D68" s="32">
        <v>1363377.9257073039</v>
      </c>
      <c r="E68" s="32">
        <v>1392434.206974725</v>
      </c>
      <c r="F68" s="32">
        <v>1390263.4967130271</v>
      </c>
      <c r="G68" s="32">
        <v>1373056.0999999999</v>
      </c>
      <c r="H68" s="26"/>
      <c r="I68" s="26"/>
    </row>
    <row r="77" spans="1:9" ht="14.25" x14ac:dyDescent="0.65">
      <c r="A77" s="1075" t="s">
        <v>779</v>
      </c>
      <c r="B77" s="1076"/>
      <c r="C77" s="1076"/>
      <c r="D77" s="1076"/>
      <c r="E77" s="1076"/>
      <c r="F77" s="1076"/>
    </row>
    <row r="78" spans="1:9" ht="54" x14ac:dyDescent="0.6">
      <c r="A78" s="957" t="s">
        <v>411</v>
      </c>
      <c r="B78" s="957" t="s">
        <v>9</v>
      </c>
      <c r="C78" s="957" t="s">
        <v>8</v>
      </c>
      <c r="D78" s="957" t="s">
        <v>6</v>
      </c>
      <c r="E78" s="957" t="s">
        <v>780</v>
      </c>
      <c r="F78" s="957" t="s">
        <v>97</v>
      </c>
    </row>
    <row r="79" spans="1:9" ht="13.5" x14ac:dyDescent="0.7">
      <c r="A79" s="957">
        <v>1990</v>
      </c>
      <c r="B79" s="958" t="s">
        <v>781</v>
      </c>
      <c r="C79" s="958" t="s">
        <v>782</v>
      </c>
      <c r="D79" s="958" t="s">
        <v>783</v>
      </c>
      <c r="E79" s="958" t="s">
        <v>784</v>
      </c>
      <c r="F79" s="958" t="s">
        <v>785</v>
      </c>
    </row>
    <row r="80" spans="1:9" ht="13.5" x14ac:dyDescent="0.7">
      <c r="A80" s="957">
        <v>1991</v>
      </c>
      <c r="B80" s="958" t="s">
        <v>786</v>
      </c>
      <c r="C80" s="958" t="s">
        <v>787</v>
      </c>
      <c r="D80" s="959">
        <v>1755335107</v>
      </c>
      <c r="E80" s="958" t="s">
        <v>788</v>
      </c>
      <c r="F80" s="958" t="s">
        <v>789</v>
      </c>
    </row>
    <row r="81" spans="1:6" ht="13.5" x14ac:dyDescent="0.7">
      <c r="A81" s="957">
        <v>1992</v>
      </c>
      <c r="B81" s="958" t="s">
        <v>790</v>
      </c>
      <c r="C81" s="958" t="s">
        <v>791</v>
      </c>
      <c r="D81" s="959">
        <v>1899146133</v>
      </c>
      <c r="E81" s="958" t="s">
        <v>792</v>
      </c>
      <c r="F81" s="958" t="s">
        <v>793</v>
      </c>
    </row>
    <row r="82" spans="1:6" ht="13.5" x14ac:dyDescent="0.7">
      <c r="A82" s="957">
        <v>1993</v>
      </c>
      <c r="B82" s="958" t="s">
        <v>794</v>
      </c>
      <c r="C82" s="958" t="s">
        <v>795</v>
      </c>
      <c r="D82" s="958" t="s">
        <v>796</v>
      </c>
      <c r="E82" s="958" t="s">
        <v>797</v>
      </c>
      <c r="F82" s="958" t="s">
        <v>798</v>
      </c>
    </row>
    <row r="83" spans="1:6" ht="13.5" x14ac:dyDescent="0.7">
      <c r="A83" s="957">
        <v>1994</v>
      </c>
      <c r="B83" s="958" t="s">
        <v>799</v>
      </c>
      <c r="C83" s="958" t="s">
        <v>800</v>
      </c>
      <c r="D83" s="958" t="s">
        <v>801</v>
      </c>
      <c r="E83" s="958" t="s">
        <v>802</v>
      </c>
      <c r="F83" s="958" t="s">
        <v>803</v>
      </c>
    </row>
    <row r="84" spans="1:6" ht="13.5" x14ac:dyDescent="0.7">
      <c r="A84" s="957">
        <v>1995</v>
      </c>
      <c r="B84" s="958" t="s">
        <v>804</v>
      </c>
      <c r="C84" s="958" t="s">
        <v>805</v>
      </c>
      <c r="D84" s="958" t="s">
        <v>806</v>
      </c>
      <c r="E84" s="958" t="s">
        <v>807</v>
      </c>
      <c r="F84" s="958" t="s">
        <v>808</v>
      </c>
    </row>
    <row r="85" spans="1:6" ht="13.5" x14ac:dyDescent="0.7">
      <c r="A85" s="957">
        <v>1996</v>
      </c>
      <c r="B85" s="958" t="s">
        <v>809</v>
      </c>
      <c r="C85" s="958" t="s">
        <v>810</v>
      </c>
      <c r="D85" s="958" t="s">
        <v>811</v>
      </c>
      <c r="E85" s="958" t="s">
        <v>812</v>
      </c>
      <c r="F85" s="958" t="s">
        <v>813</v>
      </c>
    </row>
    <row r="86" spans="1:6" ht="13.5" x14ac:dyDescent="0.7">
      <c r="A86" s="957">
        <v>1997</v>
      </c>
      <c r="B86" s="958" t="s">
        <v>814</v>
      </c>
      <c r="C86" s="958" t="s">
        <v>815</v>
      </c>
      <c r="D86" s="958" t="s">
        <v>816</v>
      </c>
      <c r="E86" s="958" t="s">
        <v>817</v>
      </c>
      <c r="F86" s="958" t="s">
        <v>818</v>
      </c>
    </row>
    <row r="87" spans="1:6" ht="13.5" x14ac:dyDescent="0.7">
      <c r="A87" s="957">
        <v>1998</v>
      </c>
      <c r="B87" s="958" t="s">
        <v>819</v>
      </c>
      <c r="C87" s="958">
        <v>655</v>
      </c>
      <c r="D87" s="958" t="s">
        <v>820</v>
      </c>
      <c r="E87" s="958" t="s">
        <v>821</v>
      </c>
      <c r="F87" s="958" t="s">
        <v>822</v>
      </c>
    </row>
    <row r="88" spans="1:6" ht="13.5" x14ac:dyDescent="0.7">
      <c r="A88" s="957">
        <v>1999</v>
      </c>
      <c r="B88" s="958" t="s">
        <v>823</v>
      </c>
      <c r="C88" s="958" t="s">
        <v>824</v>
      </c>
      <c r="D88" s="958" t="s">
        <v>825</v>
      </c>
      <c r="E88" s="958" t="s">
        <v>826</v>
      </c>
      <c r="F88" s="958" t="s">
        <v>827</v>
      </c>
    </row>
    <row r="89" spans="1:6" ht="13.5" x14ac:dyDescent="0.7">
      <c r="A89" s="957">
        <v>2000</v>
      </c>
      <c r="B89" s="958" t="s">
        <v>828</v>
      </c>
      <c r="C89" s="958" t="s">
        <v>829</v>
      </c>
      <c r="D89" s="958" t="s">
        <v>830</v>
      </c>
      <c r="E89" s="958" t="s">
        <v>831</v>
      </c>
      <c r="F89" s="958" t="s">
        <v>832</v>
      </c>
    </row>
    <row r="90" spans="1:6" ht="13.5" x14ac:dyDescent="0.7">
      <c r="A90" s="957">
        <v>2001</v>
      </c>
      <c r="B90" s="958" t="s">
        <v>833</v>
      </c>
      <c r="C90" s="958" t="s">
        <v>834</v>
      </c>
      <c r="D90" s="958" t="s">
        <v>835</v>
      </c>
      <c r="E90" s="958" t="s">
        <v>836</v>
      </c>
      <c r="F90" s="958" t="s">
        <v>837</v>
      </c>
    </row>
    <row r="91" spans="1:6" ht="13.5" x14ac:dyDescent="0.7">
      <c r="A91" s="957">
        <v>2002</v>
      </c>
      <c r="B91" s="958" t="s">
        <v>838</v>
      </c>
      <c r="C91" s="958" t="s">
        <v>839</v>
      </c>
      <c r="D91" s="958" t="s">
        <v>840</v>
      </c>
      <c r="E91" s="958" t="s">
        <v>841</v>
      </c>
      <c r="F91" s="958" t="s">
        <v>842</v>
      </c>
    </row>
    <row r="92" spans="1:6" ht="13.5" x14ac:dyDescent="0.7">
      <c r="A92" s="957">
        <v>2003</v>
      </c>
      <c r="B92" s="958" t="s">
        <v>843</v>
      </c>
      <c r="C92" s="958" t="s">
        <v>844</v>
      </c>
      <c r="D92" s="958" t="s">
        <v>845</v>
      </c>
      <c r="E92" s="958" t="s">
        <v>846</v>
      </c>
      <c r="F92" s="958" t="s">
        <v>847</v>
      </c>
    </row>
    <row r="93" spans="1:6" ht="13.5" x14ac:dyDescent="0.7">
      <c r="A93" s="957">
        <v>2004</v>
      </c>
      <c r="B93" s="958" t="s">
        <v>848</v>
      </c>
      <c r="C93" s="958" t="s">
        <v>849</v>
      </c>
      <c r="D93" s="958" t="s">
        <v>850</v>
      </c>
      <c r="E93" s="958" t="s">
        <v>851</v>
      </c>
      <c r="F93" s="958" t="s">
        <v>852</v>
      </c>
    </row>
    <row r="94" spans="1:6" ht="13.5" x14ac:dyDescent="0.7">
      <c r="A94" s="957">
        <v>2005</v>
      </c>
      <c r="B94" s="958" t="s">
        <v>853</v>
      </c>
      <c r="C94" s="958" t="s">
        <v>854</v>
      </c>
      <c r="D94" s="958" t="s">
        <v>855</v>
      </c>
      <c r="E94" s="958" t="s">
        <v>856</v>
      </c>
      <c r="F94" s="958" t="s">
        <v>857</v>
      </c>
    </row>
    <row r="95" spans="1:6" ht="13.5" x14ac:dyDescent="0.7">
      <c r="A95" s="957">
        <v>2006</v>
      </c>
      <c r="B95" s="958" t="s">
        <v>858</v>
      </c>
      <c r="C95" s="958" t="s">
        <v>859</v>
      </c>
      <c r="D95" s="958" t="s">
        <v>860</v>
      </c>
      <c r="E95" s="958" t="s">
        <v>861</v>
      </c>
      <c r="F95" s="958" t="s">
        <v>862</v>
      </c>
    </row>
    <row r="96" spans="1:6" ht="13.5" x14ac:dyDescent="0.7">
      <c r="A96" s="957">
        <v>2007</v>
      </c>
      <c r="B96" s="958" t="s">
        <v>863</v>
      </c>
      <c r="C96" s="958" t="s">
        <v>864</v>
      </c>
      <c r="D96" s="958">
        <v>2363</v>
      </c>
      <c r="E96" s="958" t="s">
        <v>865</v>
      </c>
      <c r="F96" s="958" t="s">
        <v>866</v>
      </c>
    </row>
    <row r="97" spans="1:6" ht="13.5" x14ac:dyDescent="0.7">
      <c r="A97" s="957">
        <v>2008</v>
      </c>
      <c r="B97" s="958" t="s">
        <v>867</v>
      </c>
      <c r="C97" s="958" t="s">
        <v>868</v>
      </c>
      <c r="D97" s="958" t="s">
        <v>869</v>
      </c>
      <c r="E97" s="958" t="s">
        <v>870</v>
      </c>
      <c r="F97" s="958" t="s">
        <v>871</v>
      </c>
    </row>
    <row r="98" spans="1:6" ht="13.5" x14ac:dyDescent="0.7">
      <c r="A98" s="957">
        <v>2009</v>
      </c>
      <c r="B98" s="958" t="s">
        <v>872</v>
      </c>
      <c r="C98" s="958" t="s">
        <v>873</v>
      </c>
      <c r="D98" s="958">
        <v>2137</v>
      </c>
      <c r="E98" s="958" t="s">
        <v>874</v>
      </c>
      <c r="F98" s="958" t="s">
        <v>875</v>
      </c>
    </row>
    <row r="99" spans="1:6" ht="13.5" x14ac:dyDescent="0.7">
      <c r="A99" s="957">
        <v>2010</v>
      </c>
      <c r="B99" s="958" t="s">
        <v>876</v>
      </c>
      <c r="C99" s="958" t="s">
        <v>877</v>
      </c>
      <c r="D99" s="958" t="s">
        <v>878</v>
      </c>
      <c r="E99" s="958" t="s">
        <v>879</v>
      </c>
      <c r="F99" s="958" t="s">
        <v>880</v>
      </c>
    </row>
    <row r="100" spans="1:6" ht="13.5" x14ac:dyDescent="0.7">
      <c r="A100" s="957">
        <v>2011</v>
      </c>
      <c r="B100" s="958" t="s">
        <v>881</v>
      </c>
      <c r="C100" s="958" t="s">
        <v>882</v>
      </c>
      <c r="D100" s="958" t="s">
        <v>883</v>
      </c>
      <c r="E100" s="958" t="s">
        <v>884</v>
      </c>
      <c r="F100" s="958" t="s">
        <v>885</v>
      </c>
    </row>
    <row r="101" spans="1:6" ht="13.5" x14ac:dyDescent="0.7">
      <c r="A101" s="957">
        <v>2012</v>
      </c>
      <c r="B101" s="958" t="s">
        <v>886</v>
      </c>
      <c r="C101" s="958" t="s">
        <v>887</v>
      </c>
      <c r="D101" s="958" t="s">
        <v>888</v>
      </c>
      <c r="E101" s="958" t="s">
        <v>889</v>
      </c>
      <c r="F101" s="958" t="s">
        <v>890</v>
      </c>
    </row>
    <row r="102" spans="1:6" ht="13.5" x14ac:dyDescent="0.7">
      <c r="A102" s="957">
        <v>2013</v>
      </c>
      <c r="B102" s="958" t="s">
        <v>891</v>
      </c>
      <c r="C102" s="958" t="s">
        <v>892</v>
      </c>
      <c r="D102" s="958" t="s">
        <v>893</v>
      </c>
      <c r="E102" s="958" t="s">
        <v>894</v>
      </c>
      <c r="F102" s="958" t="s">
        <v>895</v>
      </c>
    </row>
    <row r="103" spans="1:6" ht="13.5" x14ac:dyDescent="0.7">
      <c r="A103" s="957">
        <v>2014</v>
      </c>
      <c r="B103" s="958" t="s">
        <v>896</v>
      </c>
      <c r="C103" s="958" t="s">
        <v>897</v>
      </c>
      <c r="D103" s="958" t="s">
        <v>898</v>
      </c>
      <c r="E103" s="958" t="s">
        <v>899</v>
      </c>
      <c r="F103" s="958" t="s">
        <v>900</v>
      </c>
    </row>
    <row r="104" spans="1:6" ht="13.5" x14ac:dyDescent="0.7">
      <c r="A104" s="957">
        <v>2015</v>
      </c>
      <c r="B104" s="958" t="s">
        <v>901</v>
      </c>
      <c r="C104" s="958" t="s">
        <v>902</v>
      </c>
      <c r="D104" s="958" t="s">
        <v>903</v>
      </c>
      <c r="E104" s="958" t="s">
        <v>904</v>
      </c>
      <c r="F104" s="958" t="s">
        <v>905</v>
      </c>
    </row>
    <row r="105" spans="1:6" ht="13.5" x14ac:dyDescent="0.7">
      <c r="A105" s="957">
        <v>2016</v>
      </c>
      <c r="B105" s="958" t="s">
        <v>906</v>
      </c>
      <c r="C105" s="958" t="s">
        <v>907</v>
      </c>
      <c r="D105" s="958" t="s">
        <v>908</v>
      </c>
      <c r="E105" s="958" t="s">
        <v>909</v>
      </c>
      <c r="F105" s="958" t="s">
        <v>910</v>
      </c>
    </row>
    <row r="106" spans="1:6" ht="13.5" x14ac:dyDescent="0.7">
      <c r="A106" s="957">
        <v>2017</v>
      </c>
      <c r="B106" s="958" t="s">
        <v>911</v>
      </c>
      <c r="C106" s="958" t="s">
        <v>912</v>
      </c>
      <c r="D106" s="958" t="s">
        <v>913</v>
      </c>
      <c r="E106" s="958" t="s">
        <v>914</v>
      </c>
      <c r="F106" s="958" t="s">
        <v>915</v>
      </c>
    </row>
    <row r="107" spans="1:6" ht="13.5" x14ac:dyDescent="0.7">
      <c r="A107" s="957">
        <v>2018</v>
      </c>
      <c r="B107" s="958" t="s">
        <v>916</v>
      </c>
      <c r="C107" s="958" t="s">
        <v>917</v>
      </c>
      <c r="D107" s="958" t="s">
        <v>918</v>
      </c>
      <c r="E107" s="958" t="s">
        <v>919</v>
      </c>
      <c r="F107" s="958" t="s">
        <v>920</v>
      </c>
    </row>
    <row r="108" spans="1:6" ht="13.5" x14ac:dyDescent="0.7">
      <c r="A108" s="957">
        <v>2019</v>
      </c>
      <c r="B108" s="958" t="s">
        <v>921</v>
      </c>
      <c r="C108" s="958" t="s">
        <v>922</v>
      </c>
      <c r="D108" s="958" t="s">
        <v>923</v>
      </c>
      <c r="E108" s="958" t="s">
        <v>924</v>
      </c>
      <c r="F108" s="958" t="s">
        <v>925</v>
      </c>
    </row>
    <row r="109" spans="1:6" ht="13.5" x14ac:dyDescent="0.7">
      <c r="A109" s="957">
        <v>2020</v>
      </c>
      <c r="B109" s="958" t="s">
        <v>926</v>
      </c>
      <c r="C109" s="958" t="s">
        <v>927</v>
      </c>
      <c r="D109" s="958" t="s">
        <v>928</v>
      </c>
      <c r="E109" s="958" t="s">
        <v>929</v>
      </c>
      <c r="F109" s="958" t="s">
        <v>930</v>
      </c>
    </row>
    <row r="110" spans="1:6" ht="13.5" x14ac:dyDescent="0.7">
      <c r="A110" s="957">
        <v>2021</v>
      </c>
      <c r="B110" s="958" t="s">
        <v>931</v>
      </c>
      <c r="C110" s="958" t="s">
        <v>932</v>
      </c>
      <c r="D110" s="959">
        <v>1764044</v>
      </c>
      <c r="E110" s="958" t="s">
        <v>933</v>
      </c>
      <c r="F110" s="958" t="s">
        <v>934</v>
      </c>
    </row>
    <row r="111" spans="1:6" ht="13.5" x14ac:dyDescent="0.7">
      <c r="A111" s="957">
        <v>2022</v>
      </c>
      <c r="B111" s="958" t="s">
        <v>935</v>
      </c>
      <c r="C111" s="958" t="s">
        <v>936</v>
      </c>
      <c r="D111" s="958" t="s">
        <v>937</v>
      </c>
      <c r="E111" s="958" t="s">
        <v>938</v>
      </c>
      <c r="F111" s="958" t="s">
        <v>939</v>
      </c>
    </row>
  </sheetData>
  <mergeCells count="1">
    <mergeCell ref="A77:F77"/>
  </mergeCells>
  <hyperlinks>
    <hyperlink ref="K11" r:id="rId1" xr:uid="{FB926730-30B5-4FCC-93A0-A0C4F7A3633C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D1D03-1111-4588-A619-DB459D40EA78}">
  <sheetPr>
    <tabColor theme="4" tint="0.79998168889431442"/>
  </sheetPr>
  <dimension ref="A1:CG135"/>
  <sheetViews>
    <sheetView showGridLines="0" topLeftCell="B86" workbookViewId="0">
      <selection activeCell="E135" sqref="E135"/>
    </sheetView>
    <sheetView showGridLines="0" topLeftCell="C108" workbookViewId="1"/>
  </sheetViews>
  <sheetFormatPr defaultColWidth="9.1328125" defaultRowHeight="13" x14ac:dyDescent="0.6"/>
  <cols>
    <col min="2" max="2" width="18.86328125" customWidth="1"/>
    <col min="7" max="8" width="13.40625" customWidth="1"/>
    <col min="10" max="10" width="12.86328125" customWidth="1"/>
    <col min="11" max="11" width="13.26953125" customWidth="1"/>
    <col min="14" max="15" width="10.1328125" bestFit="1" customWidth="1"/>
    <col min="20" max="20" width="12.86328125" customWidth="1"/>
    <col min="34" max="34" width="11" customWidth="1"/>
    <col min="66" max="66" width="14.54296875" customWidth="1"/>
    <col min="70" max="70" width="10.54296875" bestFit="1" customWidth="1"/>
    <col min="80" max="80" width="12" bestFit="1" customWidth="1"/>
    <col min="84" max="84" width="12" bestFit="1" customWidth="1"/>
  </cols>
  <sheetData>
    <row r="1" spans="1:78" ht="14.25" x14ac:dyDescent="0.65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78" ht="17.5" thickBot="1" x14ac:dyDescent="0.9">
      <c r="A2" s="1195" t="s">
        <v>451</v>
      </c>
      <c r="B2" s="1195"/>
      <c r="C2" s="1195"/>
      <c r="D2" s="1195"/>
      <c r="E2" s="1195"/>
      <c r="F2" s="1195"/>
      <c r="G2" s="1195"/>
      <c r="H2" s="1195"/>
      <c r="I2" s="1195"/>
      <c r="J2" s="1195"/>
      <c r="K2" s="1195"/>
      <c r="BM2">
        <f>1/12</f>
        <v>8.3333333333333329E-2</v>
      </c>
    </row>
    <row r="3" spans="1:78" ht="25.25" x14ac:dyDescent="1.05">
      <c r="A3" s="1196"/>
      <c r="B3" s="1197"/>
      <c r="C3" s="1202" t="s">
        <v>452</v>
      </c>
      <c r="D3" s="1203"/>
      <c r="E3" s="1203"/>
      <c r="F3" s="1203"/>
      <c r="G3" s="1203"/>
      <c r="H3" s="1203"/>
      <c r="I3" s="1203"/>
      <c r="J3" s="1203"/>
      <c r="K3" s="1203"/>
      <c r="L3" s="396"/>
      <c r="M3" s="1202" t="s">
        <v>453</v>
      </c>
      <c r="N3" s="1203"/>
      <c r="O3" s="1203"/>
      <c r="P3" s="1203"/>
      <c r="Q3" s="1203"/>
      <c r="R3" s="1203"/>
      <c r="S3" s="1203"/>
      <c r="T3" s="1203"/>
      <c r="U3" s="1203"/>
      <c r="V3" s="397"/>
      <c r="AD3" s="1202" t="s">
        <v>454</v>
      </c>
      <c r="AE3" s="1203"/>
      <c r="AF3" s="1203"/>
      <c r="AG3" s="1203"/>
      <c r="AH3" s="1203"/>
      <c r="AI3" s="1203"/>
      <c r="AJ3" s="1203"/>
      <c r="AK3" s="1203"/>
      <c r="AL3" s="1203"/>
      <c r="BL3" t="s">
        <v>455</v>
      </c>
      <c r="BM3">
        <f>2015+6*BM2</f>
        <v>2015.5</v>
      </c>
      <c r="BN3" s="376">
        <v>54618.400000000001</v>
      </c>
      <c r="BP3" s="121"/>
    </row>
    <row r="4" spans="1:78" ht="25.25" x14ac:dyDescent="1.05">
      <c r="A4" s="1198"/>
      <c r="B4" s="1199"/>
      <c r="C4" s="862"/>
      <c r="D4" s="863"/>
      <c r="E4" s="864"/>
      <c r="F4" s="310"/>
      <c r="G4" s="1205"/>
      <c r="H4" s="874"/>
      <c r="I4" s="1244" t="s">
        <v>456</v>
      </c>
      <c r="J4" s="1245"/>
      <c r="K4" s="1245"/>
      <c r="L4" s="396"/>
      <c r="M4" s="862"/>
      <c r="N4" s="863"/>
      <c r="O4" s="864"/>
      <c r="P4" s="310"/>
      <c r="Q4" s="1205"/>
      <c r="R4" s="1205"/>
      <c r="S4" s="1208" t="s">
        <v>457</v>
      </c>
      <c r="T4" s="1209"/>
      <c r="U4" s="1209"/>
      <c r="V4" s="397"/>
      <c r="AD4" s="862"/>
      <c r="AE4" s="863"/>
      <c r="AF4" s="864"/>
      <c r="AG4" s="310"/>
      <c r="AH4" s="1205"/>
      <c r="AI4" s="1205"/>
      <c r="AJ4" s="1208" t="s">
        <v>457</v>
      </c>
      <c r="AK4" s="1209"/>
      <c r="AL4" s="1209"/>
      <c r="BL4" t="s">
        <v>458</v>
      </c>
      <c r="BM4">
        <f t="shared" ref="BM4:BM35" si="0">BM3+$BM$2</f>
        <v>2015.5833333333333</v>
      </c>
      <c r="BN4" s="376">
        <v>48661</v>
      </c>
      <c r="BP4" s="121"/>
      <c r="BW4" s="377" t="s">
        <v>458</v>
      </c>
      <c r="BX4" s="378">
        <v>47144.9</v>
      </c>
    </row>
    <row r="5" spans="1:78" ht="25.25" x14ac:dyDescent="1.05">
      <c r="A5" s="1200"/>
      <c r="B5" s="1201"/>
      <c r="C5" s="311"/>
      <c r="D5" s="312"/>
      <c r="E5" s="313"/>
      <c r="F5" s="315"/>
      <c r="G5" s="1206"/>
      <c r="H5" s="316"/>
      <c r="I5" s="317"/>
      <c r="J5" s="318"/>
      <c r="K5" s="318"/>
      <c r="L5" s="396"/>
      <c r="M5" s="311"/>
      <c r="N5" s="312"/>
      <c r="O5" s="313"/>
      <c r="P5" s="315"/>
      <c r="Q5" s="1206"/>
      <c r="R5" s="1206"/>
      <c r="S5" s="1246"/>
      <c r="T5" s="1247"/>
      <c r="U5" s="1247"/>
      <c r="V5" s="397"/>
      <c r="AD5" s="311"/>
      <c r="AE5" s="312"/>
      <c r="AF5" s="313"/>
      <c r="AG5" s="315"/>
      <c r="AH5" s="1206"/>
      <c r="AI5" s="1206"/>
      <c r="AJ5" s="1246"/>
      <c r="AK5" s="1247"/>
      <c r="AL5" s="1247"/>
      <c r="BL5" t="s">
        <v>459</v>
      </c>
      <c r="BM5">
        <f t="shared" si="0"/>
        <v>2015.6666666666665</v>
      </c>
      <c r="BN5" s="376">
        <v>56252.4</v>
      </c>
      <c r="BP5" s="121"/>
      <c r="BW5" s="377" t="s">
        <v>459</v>
      </c>
      <c r="BX5" s="378">
        <v>47830.5</v>
      </c>
    </row>
    <row r="6" spans="1:78" ht="14.75" x14ac:dyDescent="0.75">
      <c r="A6" s="865"/>
      <c r="B6" s="866"/>
      <c r="C6" s="320"/>
      <c r="D6" s="321">
        <v>28</v>
      </c>
      <c r="E6" s="322">
        <v>265</v>
      </c>
      <c r="F6" s="323"/>
      <c r="G6" s="1207"/>
      <c r="H6" s="316"/>
      <c r="I6" s="324"/>
      <c r="J6" s="875"/>
      <c r="K6" s="868"/>
      <c r="L6" s="396"/>
      <c r="M6" s="320"/>
      <c r="N6" s="321">
        <v>28</v>
      </c>
      <c r="O6" s="321">
        <v>265</v>
      </c>
      <c r="P6" s="323"/>
      <c r="Q6" s="1207"/>
      <c r="R6" s="1207"/>
      <c r="S6" s="324"/>
      <c r="T6" s="875"/>
      <c r="U6" s="868"/>
      <c r="V6" s="397"/>
      <c r="AD6" s="320"/>
      <c r="AE6" s="321">
        <v>28</v>
      </c>
      <c r="AF6" s="322">
        <v>265</v>
      </c>
      <c r="AG6" s="323"/>
      <c r="AH6" s="1207"/>
      <c r="AI6" s="1207"/>
      <c r="AJ6" s="324"/>
      <c r="AK6" s="875"/>
      <c r="AL6" s="868"/>
      <c r="BL6" t="s">
        <v>460</v>
      </c>
      <c r="BM6">
        <f t="shared" si="0"/>
        <v>2015.7499999999998</v>
      </c>
      <c r="BN6" s="376">
        <v>50844.5</v>
      </c>
      <c r="BP6" s="121"/>
      <c r="BW6" s="377" t="s">
        <v>460</v>
      </c>
      <c r="BX6" s="378">
        <v>46838</v>
      </c>
    </row>
    <row r="7" spans="1:78" ht="27.5" thickBot="1" x14ac:dyDescent="0.9">
      <c r="A7" s="1178" t="s">
        <v>461</v>
      </c>
      <c r="B7" s="1179"/>
      <c r="C7" s="869" t="s">
        <v>281</v>
      </c>
      <c r="D7" s="870" t="s">
        <v>282</v>
      </c>
      <c r="E7" s="871" t="s">
        <v>283</v>
      </c>
      <c r="F7" s="379"/>
      <c r="G7" s="326" t="s">
        <v>270</v>
      </c>
      <c r="H7" s="380" t="s">
        <v>462</v>
      </c>
      <c r="I7" s="327"/>
      <c r="J7" s="393" t="s">
        <v>463</v>
      </c>
      <c r="K7" s="394" t="s">
        <v>464</v>
      </c>
      <c r="L7" s="396"/>
      <c r="M7" s="869" t="s">
        <v>281</v>
      </c>
      <c r="N7" s="870" t="s">
        <v>282</v>
      </c>
      <c r="O7" s="871" t="s">
        <v>283</v>
      </c>
      <c r="P7" s="379"/>
      <c r="Q7" s="326" t="s">
        <v>270</v>
      </c>
      <c r="R7" s="326" t="s">
        <v>462</v>
      </c>
      <c r="S7" s="327"/>
      <c r="T7" s="393" t="s">
        <v>463</v>
      </c>
      <c r="U7" s="394" t="s">
        <v>464</v>
      </c>
      <c r="V7" s="397"/>
      <c r="AD7" s="869" t="s">
        <v>281</v>
      </c>
      <c r="AE7" s="870" t="s">
        <v>282</v>
      </c>
      <c r="AF7" s="871" t="s">
        <v>283</v>
      </c>
      <c r="AG7" s="330" t="s">
        <v>465</v>
      </c>
      <c r="AH7" s="330" t="s">
        <v>465</v>
      </c>
      <c r="AI7" s="330" t="s">
        <v>465</v>
      </c>
      <c r="AJ7" s="327"/>
      <c r="AK7" s="393" t="s">
        <v>463</v>
      </c>
      <c r="AL7" s="394" t="s">
        <v>464</v>
      </c>
      <c r="BL7" t="s">
        <v>466</v>
      </c>
      <c r="BM7">
        <f t="shared" si="0"/>
        <v>2015.833333333333</v>
      </c>
      <c r="BN7" s="376">
        <v>51994.1</v>
      </c>
      <c r="BP7" s="121"/>
      <c r="BW7" s="377" t="s">
        <v>466</v>
      </c>
      <c r="BX7" s="378">
        <v>51495.7</v>
      </c>
    </row>
    <row r="8" spans="1:78" ht="27.5" thickBot="1" x14ac:dyDescent="0.9">
      <c r="A8" s="328"/>
      <c r="B8" s="329" t="s">
        <v>464</v>
      </c>
      <c r="C8" s="1184" t="s">
        <v>467</v>
      </c>
      <c r="D8" s="1185"/>
      <c r="E8" s="1185"/>
      <c r="F8" s="873" t="s">
        <v>465</v>
      </c>
      <c r="G8" s="330" t="s">
        <v>465</v>
      </c>
      <c r="H8" s="331"/>
      <c r="I8" s="332"/>
      <c r="J8" s="389"/>
      <c r="K8" s="395"/>
      <c r="L8" s="396"/>
      <c r="M8" s="1184" t="s">
        <v>467</v>
      </c>
      <c r="N8" s="1185"/>
      <c r="O8" s="1185"/>
      <c r="P8" s="873" t="s">
        <v>465</v>
      </c>
      <c r="Q8" s="330" t="s">
        <v>465</v>
      </c>
      <c r="R8" s="330"/>
      <c r="S8" s="332"/>
      <c r="T8" s="389"/>
      <c r="U8" s="395"/>
      <c r="V8" s="397"/>
      <c r="AD8" s="1184" t="s">
        <v>467</v>
      </c>
      <c r="AE8" s="1185"/>
      <c r="AF8" s="1185"/>
      <c r="AG8" s="379" t="s">
        <v>464</v>
      </c>
      <c r="AH8" s="326" t="s">
        <v>270</v>
      </c>
      <c r="AI8" s="326" t="s">
        <v>462</v>
      </c>
      <c r="AJ8" s="332"/>
      <c r="AK8" s="389"/>
      <c r="AL8" s="395"/>
      <c r="BL8" t="s">
        <v>468</v>
      </c>
      <c r="BM8">
        <f t="shared" si="0"/>
        <v>2015.9166666666663</v>
      </c>
      <c r="BN8" s="376">
        <v>57347.5</v>
      </c>
      <c r="BP8" s="121"/>
      <c r="BW8" s="377" t="s">
        <v>468</v>
      </c>
      <c r="BX8" s="378">
        <v>48080.800000000003</v>
      </c>
    </row>
    <row r="9" spans="1:78" ht="15" customHeight="1" x14ac:dyDescent="0.75">
      <c r="A9" s="1226">
        <v>2016</v>
      </c>
      <c r="B9" s="333" t="s">
        <v>469</v>
      </c>
      <c r="C9" s="334">
        <v>62.2</v>
      </c>
      <c r="D9" s="335">
        <f>0.725/1000</f>
        <v>7.2499999999999995E-4</v>
      </c>
      <c r="E9" s="336">
        <f>2.47/1000</f>
        <v>2.4700000000000004E-3</v>
      </c>
      <c r="F9" s="337">
        <f>C9+D9*$D$6+E9*$E$6</f>
        <v>62.874850000000002</v>
      </c>
      <c r="G9" s="381">
        <f>F9</f>
        <v>62.874850000000002</v>
      </c>
      <c r="H9" s="381">
        <v>3</v>
      </c>
      <c r="I9" s="338"/>
      <c r="J9" s="339"/>
      <c r="K9" s="340"/>
      <c r="L9" s="397"/>
      <c r="M9" s="334">
        <v>0</v>
      </c>
      <c r="N9" s="335">
        <v>0</v>
      </c>
      <c r="O9" s="336">
        <v>0</v>
      </c>
      <c r="P9" s="337">
        <f>M9+N9*$N$6+O9*$O$6</f>
        <v>0</v>
      </c>
      <c r="Q9" s="381">
        <f>P9</f>
        <v>0</v>
      </c>
      <c r="R9" s="381">
        <v>0</v>
      </c>
      <c r="S9" s="338"/>
      <c r="T9" s="339"/>
      <c r="U9" s="340"/>
      <c r="V9" s="397"/>
      <c r="AD9" s="334">
        <f t="shared" ref="AD9:AD40" si="1">M9+C9</f>
        <v>62.2</v>
      </c>
      <c r="AE9" s="335">
        <f t="shared" ref="AE9:AE40" si="2">N9+D9</f>
        <v>7.2499999999999995E-4</v>
      </c>
      <c r="AF9" s="336">
        <f t="shared" ref="AF9:AF40" si="3">O9+E9</f>
        <v>2.4700000000000004E-3</v>
      </c>
      <c r="AG9" s="337">
        <f>AD9+AE9*$AE$6+AF9*$AF$6</f>
        <v>62.874850000000002</v>
      </c>
      <c r="AH9" s="381">
        <f>AG9</f>
        <v>62.874850000000002</v>
      </c>
      <c r="AI9" s="381">
        <f t="shared" ref="AI9:AI40" si="4">R9+H9</f>
        <v>3</v>
      </c>
      <c r="AJ9" s="338"/>
      <c r="AK9" s="339"/>
      <c r="AL9" s="340"/>
      <c r="BL9" t="s">
        <v>470</v>
      </c>
      <c r="BM9">
        <f t="shared" si="0"/>
        <v>2015.9999999999995</v>
      </c>
      <c r="BN9" s="376">
        <v>46533.1</v>
      </c>
      <c r="BP9" s="121"/>
      <c r="BW9" s="377" t="s">
        <v>470</v>
      </c>
      <c r="BX9" s="378">
        <v>45877.599999999999</v>
      </c>
    </row>
    <row r="10" spans="1:78" ht="14.75" x14ac:dyDescent="0.75">
      <c r="A10" s="1161"/>
      <c r="B10" s="341" t="s">
        <v>471</v>
      </c>
      <c r="C10" s="342">
        <v>8500</v>
      </c>
      <c r="D10" s="343">
        <f>108/1000</f>
        <v>0.108</v>
      </c>
      <c r="E10" s="344">
        <v>0.34399999999999997</v>
      </c>
      <c r="F10" s="345">
        <f t="shared" ref="F10:F60" si="5">C10+D10*$D$6+E10*$E$6</f>
        <v>8594.1839999999993</v>
      </c>
      <c r="G10" s="382">
        <f>F10+F9</f>
        <v>8657.0588499999994</v>
      </c>
      <c r="H10" s="382">
        <v>233</v>
      </c>
      <c r="I10" s="338"/>
      <c r="J10" s="339"/>
      <c r="K10" s="346"/>
      <c r="L10" s="397"/>
      <c r="M10" s="342">
        <v>19.5</v>
      </c>
      <c r="N10" s="343">
        <f>0.232/1000</f>
        <v>2.32E-4</v>
      </c>
      <c r="O10" s="344">
        <f>0.77/1000</f>
        <v>7.7000000000000007E-4</v>
      </c>
      <c r="P10" s="345">
        <f>M10+N10*$N$6+O10*$O$6</f>
        <v>19.710545999999997</v>
      </c>
      <c r="Q10" s="382">
        <f>P10+P9</f>
        <v>19.710545999999997</v>
      </c>
      <c r="R10" s="382">
        <v>4</v>
      </c>
      <c r="S10" s="338"/>
      <c r="T10" s="339"/>
      <c r="U10" s="346"/>
      <c r="V10" s="397"/>
      <c r="AD10" s="342">
        <f t="shared" si="1"/>
        <v>8519.5</v>
      </c>
      <c r="AE10" s="343">
        <f t="shared" si="2"/>
        <v>0.10823199999999999</v>
      </c>
      <c r="AF10" s="344">
        <f t="shared" si="3"/>
        <v>0.34476999999999997</v>
      </c>
      <c r="AG10" s="345">
        <f t="shared" ref="AG10:AG60" si="6">AD10+AE10*$AE$6+AF10*$AF$6</f>
        <v>8613.8945459999995</v>
      </c>
      <c r="AH10" s="382">
        <f>AG10+AG9</f>
        <v>8676.7693959999997</v>
      </c>
      <c r="AI10" s="382">
        <f t="shared" si="4"/>
        <v>237</v>
      </c>
      <c r="AJ10" s="338"/>
      <c r="AK10" s="339"/>
      <c r="AL10" s="346"/>
      <c r="BL10" t="s">
        <v>472</v>
      </c>
      <c r="BM10">
        <f t="shared" si="0"/>
        <v>2016.0833333333328</v>
      </c>
      <c r="BN10" s="376">
        <v>45365.2</v>
      </c>
      <c r="BP10" s="121"/>
      <c r="BW10" s="377" t="s">
        <v>472</v>
      </c>
      <c r="BX10" s="378">
        <v>42520.5</v>
      </c>
    </row>
    <row r="11" spans="1:78" ht="14.75" x14ac:dyDescent="0.75">
      <c r="A11" s="1161"/>
      <c r="B11" s="341" t="s">
        <v>473</v>
      </c>
      <c r="C11" s="342">
        <v>1500</v>
      </c>
      <c r="D11" s="343">
        <f>17.6/1000</f>
        <v>1.7600000000000001E-2</v>
      </c>
      <c r="E11" s="344">
        <f>64.9/1000</f>
        <v>6.4899999999999999E-2</v>
      </c>
      <c r="F11" s="345">
        <f t="shared" si="5"/>
        <v>1517.6913</v>
      </c>
      <c r="G11" s="382">
        <f>F11+F10+F9</f>
        <v>10174.75015</v>
      </c>
      <c r="H11" s="382">
        <v>144</v>
      </c>
      <c r="I11" s="347"/>
      <c r="J11" s="339"/>
      <c r="K11" s="339"/>
      <c r="L11" s="397"/>
      <c r="M11" s="342">
        <v>20.3</v>
      </c>
      <c r="N11" s="343">
        <f>0.234/1000</f>
        <v>2.3400000000000002E-4</v>
      </c>
      <c r="O11" s="344">
        <f>0.877/1000</f>
        <v>8.7699999999999996E-4</v>
      </c>
      <c r="P11" s="345">
        <f>M11+N11*$N$6+O11*$O$6</f>
        <v>20.538957</v>
      </c>
      <c r="Q11" s="382">
        <f>P11+P10+P9</f>
        <v>40.249502999999997</v>
      </c>
      <c r="R11" s="382">
        <v>3</v>
      </c>
      <c r="S11" s="347"/>
      <c r="T11" s="339"/>
      <c r="U11" s="339"/>
      <c r="V11" s="397"/>
      <c r="AD11" s="342">
        <f t="shared" si="1"/>
        <v>1520.3</v>
      </c>
      <c r="AE11" s="343">
        <f t="shared" si="2"/>
        <v>1.7834000000000003E-2</v>
      </c>
      <c r="AF11" s="344">
        <f t="shared" si="3"/>
        <v>6.5777000000000002E-2</v>
      </c>
      <c r="AG11" s="345">
        <f t="shared" si="6"/>
        <v>1538.2302569999999</v>
      </c>
      <c r="AH11" s="382">
        <f>AG11+AG10+AG9</f>
        <v>10214.999652999999</v>
      </c>
      <c r="AI11" s="382">
        <f t="shared" si="4"/>
        <v>147</v>
      </c>
      <c r="AJ11" s="347"/>
      <c r="AK11" s="339"/>
      <c r="AL11" s="339"/>
      <c r="BL11" t="s">
        <v>474</v>
      </c>
      <c r="BM11">
        <f t="shared" si="0"/>
        <v>2016.1666666666661</v>
      </c>
      <c r="BN11" s="376">
        <v>66309</v>
      </c>
      <c r="BP11" s="121"/>
      <c r="BW11" s="377" t="s">
        <v>474</v>
      </c>
      <c r="BX11" s="378">
        <v>44203.1</v>
      </c>
    </row>
    <row r="12" spans="1:78" ht="14.75" x14ac:dyDescent="0.75">
      <c r="A12" s="1161"/>
      <c r="B12" s="341" t="s">
        <v>475</v>
      </c>
      <c r="C12" s="342">
        <v>78.2</v>
      </c>
      <c r="D12" s="343">
        <f>0.819/1000</f>
        <v>8.1899999999999996E-4</v>
      </c>
      <c r="E12" s="344">
        <f>3.51/1000</f>
        <v>3.5099999999999997E-3</v>
      </c>
      <c r="F12" s="345">
        <f t="shared" si="5"/>
        <v>79.153081999999998</v>
      </c>
      <c r="G12" s="382">
        <f>SUM(F9:F12)</f>
        <v>10253.903232000001</v>
      </c>
      <c r="H12" s="382">
        <v>6</v>
      </c>
      <c r="I12" s="347"/>
      <c r="J12" s="339"/>
      <c r="K12" s="339"/>
      <c r="L12" s="397"/>
      <c r="M12" s="342">
        <v>1100</v>
      </c>
      <c r="N12" s="343">
        <f>13.2/1000</f>
        <v>1.32E-2</v>
      </c>
      <c r="O12" s="344">
        <f>43.8/1000</f>
        <v>4.3799999999999999E-2</v>
      </c>
      <c r="P12" s="345">
        <f t="shared" ref="P12:P59" si="7">M12+N12*$N$6+O12*$O$6</f>
        <v>1111.9766</v>
      </c>
      <c r="Q12" s="382">
        <f>SUM(P9:P12)</f>
        <v>1152.226103</v>
      </c>
      <c r="R12" s="382">
        <v>106</v>
      </c>
      <c r="S12" s="347"/>
      <c r="T12" s="339"/>
      <c r="U12" s="339"/>
      <c r="V12" s="397"/>
      <c r="AD12" s="342">
        <f t="shared" si="1"/>
        <v>1178.2</v>
      </c>
      <c r="AE12" s="343">
        <f t="shared" si="2"/>
        <v>1.4019E-2</v>
      </c>
      <c r="AF12" s="344">
        <f t="shared" si="3"/>
        <v>4.7309999999999998E-2</v>
      </c>
      <c r="AG12" s="345">
        <f t="shared" si="6"/>
        <v>1191.1296820000002</v>
      </c>
      <c r="AH12" s="382">
        <f>SUM(AG9:AG12)</f>
        <v>11406.129335</v>
      </c>
      <c r="AI12" s="382">
        <f t="shared" si="4"/>
        <v>112</v>
      </c>
      <c r="AJ12" s="347"/>
      <c r="AK12" s="339"/>
      <c r="AL12" s="339"/>
      <c r="BL12" t="s">
        <v>476</v>
      </c>
      <c r="BM12">
        <f t="shared" si="0"/>
        <v>2016.2499999999993</v>
      </c>
      <c r="BN12" s="376">
        <v>53810.1</v>
      </c>
      <c r="BP12" s="121"/>
      <c r="BW12" s="377" t="s">
        <v>476</v>
      </c>
      <c r="BX12" s="378">
        <v>47222.8</v>
      </c>
    </row>
    <row r="13" spans="1:78" ht="14.75" x14ac:dyDescent="0.75">
      <c r="A13" s="1161"/>
      <c r="B13" s="375" t="s">
        <v>477</v>
      </c>
      <c r="C13" s="342">
        <f>SUM(C9:C12)</f>
        <v>10140.400000000001</v>
      </c>
      <c r="D13" s="343">
        <f>SUM(D9:D12)</f>
        <v>0.12714399999999998</v>
      </c>
      <c r="E13" s="344">
        <f>SUM(E9:E12)</f>
        <v>0.41488000000000003</v>
      </c>
      <c r="F13" s="383">
        <f t="shared" si="5"/>
        <v>10253.903232000001</v>
      </c>
      <c r="G13" s="382">
        <f>SUM(F13)</f>
        <v>10253.903232000001</v>
      </c>
      <c r="H13" s="382">
        <f>SUM(H9:H12)</f>
        <v>386</v>
      </c>
      <c r="I13" s="347"/>
      <c r="J13" s="339"/>
      <c r="K13" s="339"/>
      <c r="L13" s="397"/>
      <c r="M13" s="342">
        <f>SUM(M9:M12)</f>
        <v>1139.8</v>
      </c>
      <c r="N13" s="343">
        <f>SUM(N9:N12)</f>
        <v>1.3665999999999999E-2</v>
      </c>
      <c r="O13" s="344">
        <f>SUM(O9:O12)</f>
        <v>4.5447000000000001E-2</v>
      </c>
      <c r="P13" s="383">
        <f t="shared" si="7"/>
        <v>1152.226103</v>
      </c>
      <c r="Q13" s="382">
        <f>SUM(P13)</f>
        <v>1152.226103</v>
      </c>
      <c r="R13" s="382">
        <f>SUM(R9:R12)</f>
        <v>113</v>
      </c>
      <c r="S13" s="347"/>
      <c r="T13" s="339"/>
      <c r="U13" s="339"/>
      <c r="V13" s="397"/>
      <c r="AD13" s="342">
        <f t="shared" si="1"/>
        <v>11280.2</v>
      </c>
      <c r="AE13" s="343">
        <f t="shared" si="2"/>
        <v>0.14080999999999999</v>
      </c>
      <c r="AF13" s="344">
        <f t="shared" si="3"/>
        <v>0.46032700000000004</v>
      </c>
      <c r="AG13" s="383">
        <f t="shared" si="6"/>
        <v>11406.129335000001</v>
      </c>
      <c r="AH13" s="382">
        <f>SUM(AG13)</f>
        <v>11406.129335000001</v>
      </c>
      <c r="AI13" s="382">
        <f t="shared" si="4"/>
        <v>499</v>
      </c>
      <c r="AJ13" s="347"/>
      <c r="AK13" s="339"/>
      <c r="AL13" s="339"/>
      <c r="BL13" t="s">
        <v>478</v>
      </c>
      <c r="BM13">
        <f t="shared" si="0"/>
        <v>2016.3333333333326</v>
      </c>
      <c r="BN13" s="376">
        <v>64035.6</v>
      </c>
      <c r="BP13" s="121"/>
      <c r="BW13" s="377" t="s">
        <v>478</v>
      </c>
      <c r="BX13" s="378">
        <v>46768.7</v>
      </c>
    </row>
    <row r="14" spans="1:78" ht="18" x14ac:dyDescent="0.8">
      <c r="A14" s="1161"/>
      <c r="B14" s="341" t="s">
        <v>479</v>
      </c>
      <c r="C14" s="342">
        <v>0</v>
      </c>
      <c r="D14" s="343">
        <v>0</v>
      </c>
      <c r="E14" s="344">
        <v>0</v>
      </c>
      <c r="F14" s="383">
        <f t="shared" si="5"/>
        <v>0</v>
      </c>
      <c r="G14" s="382">
        <f>F13+F14</f>
        <v>10253.903232000001</v>
      </c>
      <c r="H14" s="382">
        <v>0</v>
      </c>
      <c r="I14" s="347"/>
      <c r="J14" s="339"/>
      <c r="K14" s="339"/>
      <c r="L14" s="397"/>
      <c r="M14" s="342">
        <v>242</v>
      </c>
      <c r="N14" s="343">
        <f>3.12/1000</f>
        <v>3.1199999999999999E-3</v>
      </c>
      <c r="O14" s="344">
        <f>10.3/1000</f>
        <v>1.03E-2</v>
      </c>
      <c r="P14" s="383">
        <f>M14+N14*$N$6+O14*$O$6</f>
        <v>244.81685999999999</v>
      </c>
      <c r="Q14" s="382">
        <f>P13+P14</f>
        <v>1397.0429629999999</v>
      </c>
      <c r="R14" s="382">
        <v>8</v>
      </c>
      <c r="S14" s="347"/>
      <c r="T14" s="339"/>
      <c r="U14" s="339"/>
      <c r="V14" s="397"/>
      <c r="AD14" s="342">
        <f t="shared" si="1"/>
        <v>242</v>
      </c>
      <c r="AE14" s="343">
        <f t="shared" si="2"/>
        <v>3.1199999999999999E-3</v>
      </c>
      <c r="AF14" s="344">
        <f t="shared" si="3"/>
        <v>1.03E-2</v>
      </c>
      <c r="AG14" s="383">
        <f t="shared" si="6"/>
        <v>244.81685999999999</v>
      </c>
      <c r="AH14" s="382">
        <f>AG13+AG14</f>
        <v>11650.946195000002</v>
      </c>
      <c r="AI14" s="382">
        <f t="shared" si="4"/>
        <v>8</v>
      </c>
      <c r="AJ14" s="347"/>
      <c r="AK14" s="339"/>
      <c r="AL14" s="339"/>
      <c r="AO14" s="404" t="s">
        <v>480</v>
      </c>
      <c r="BL14" t="s">
        <v>481</v>
      </c>
      <c r="BM14">
        <f t="shared" si="0"/>
        <v>2016.4166666666658</v>
      </c>
      <c r="BN14" s="376">
        <v>63030.7</v>
      </c>
      <c r="BP14" s="121"/>
      <c r="BW14" s="377" t="s">
        <v>481</v>
      </c>
      <c r="BX14" s="378">
        <v>48352.9</v>
      </c>
    </row>
    <row r="15" spans="1:78" ht="14.75" x14ac:dyDescent="0.75">
      <c r="A15" s="1161"/>
      <c r="B15" s="341" t="s">
        <v>480</v>
      </c>
      <c r="C15" s="342">
        <v>12500</v>
      </c>
      <c r="D15" s="343">
        <v>0.124</v>
      </c>
      <c r="E15" s="344">
        <v>0.46500000000000002</v>
      </c>
      <c r="F15" s="345">
        <f t="shared" si="5"/>
        <v>12626.697</v>
      </c>
      <c r="G15" s="382">
        <f>F15+F14+F13</f>
        <v>22880.600232000001</v>
      </c>
      <c r="H15" s="382">
        <v>62</v>
      </c>
      <c r="I15" s="347"/>
      <c r="J15" s="339"/>
      <c r="K15" s="339"/>
      <c r="L15" s="397"/>
      <c r="M15" s="342">
        <v>1200</v>
      </c>
      <c r="N15" s="343">
        <f>14.7/1000</f>
        <v>1.47E-2</v>
      </c>
      <c r="O15" s="344">
        <f>47.5/1000</f>
        <v>4.7500000000000001E-2</v>
      </c>
      <c r="P15" s="345">
        <f t="shared" si="7"/>
        <v>1212.9991</v>
      </c>
      <c r="Q15" s="382">
        <f>P15+P14+P13</f>
        <v>2610.0420629999999</v>
      </c>
      <c r="R15" s="382">
        <v>40</v>
      </c>
      <c r="S15" s="347"/>
      <c r="T15" s="339"/>
      <c r="U15" s="339"/>
      <c r="V15" s="397"/>
      <c r="AD15" s="342">
        <f t="shared" si="1"/>
        <v>13700</v>
      </c>
      <c r="AE15" s="343">
        <f t="shared" si="2"/>
        <v>0.13869999999999999</v>
      </c>
      <c r="AF15" s="344">
        <f t="shared" si="3"/>
        <v>0.51250000000000007</v>
      </c>
      <c r="AG15" s="345">
        <f t="shared" si="6"/>
        <v>13839.696099999999</v>
      </c>
      <c r="AH15" s="382">
        <f>AG15+AG14+AG13</f>
        <v>25490.642295000001</v>
      </c>
      <c r="AI15" s="382">
        <f t="shared" si="4"/>
        <v>102</v>
      </c>
      <c r="AJ15" s="347"/>
      <c r="AK15" s="339"/>
      <c r="AL15" s="339"/>
      <c r="BL15" t="s">
        <v>482</v>
      </c>
      <c r="BM15">
        <f t="shared" si="0"/>
        <v>2016.4999999999991</v>
      </c>
      <c r="BN15" s="376">
        <v>53653.5</v>
      </c>
      <c r="BP15" s="121">
        <f>(BN15-BN3)/BN3</f>
        <v>-1.76662077248693E-2</v>
      </c>
      <c r="BW15" s="377" t="s">
        <v>482</v>
      </c>
      <c r="BX15" s="378">
        <v>43861.5</v>
      </c>
      <c r="BZ15" s="121" t="e">
        <f>(BX15-BX3)/BX3</f>
        <v>#DIV/0!</v>
      </c>
    </row>
    <row r="16" spans="1:78" ht="14.75" x14ac:dyDescent="0.75">
      <c r="A16" s="1161"/>
      <c r="B16" s="341" t="s">
        <v>483</v>
      </c>
      <c r="C16" s="342">
        <f>C15+C14</f>
        <v>12500</v>
      </c>
      <c r="D16" s="343">
        <f>D15+D14</f>
        <v>0.124</v>
      </c>
      <c r="E16" s="344">
        <f>E15+E14</f>
        <v>0.46500000000000002</v>
      </c>
      <c r="F16" s="345">
        <f t="shared" si="5"/>
        <v>12626.697</v>
      </c>
      <c r="G16" s="382">
        <f>F16+F13</f>
        <v>22880.600232000001</v>
      </c>
      <c r="H16" s="382">
        <f>H15+H14</f>
        <v>62</v>
      </c>
      <c r="I16" s="347"/>
      <c r="J16" s="339"/>
      <c r="K16" s="339"/>
      <c r="L16" s="397"/>
      <c r="M16" s="342">
        <f>M15+M14</f>
        <v>1442</v>
      </c>
      <c r="N16" s="343">
        <f>N15+N14</f>
        <v>1.7819999999999999E-2</v>
      </c>
      <c r="O16" s="344">
        <f>O15+O14</f>
        <v>5.7800000000000004E-2</v>
      </c>
      <c r="P16" s="345">
        <f t="shared" si="7"/>
        <v>1457.8159599999999</v>
      </c>
      <c r="Q16" s="382">
        <f>P16+P13</f>
        <v>2610.0420629999999</v>
      </c>
      <c r="R16" s="382">
        <f>R15+R14</f>
        <v>48</v>
      </c>
      <c r="S16" s="347"/>
      <c r="T16" s="339"/>
      <c r="U16" s="339"/>
      <c r="V16" s="397"/>
      <c r="AD16" s="342">
        <f t="shared" si="1"/>
        <v>13942</v>
      </c>
      <c r="AE16" s="343">
        <f t="shared" si="2"/>
        <v>0.14182</v>
      </c>
      <c r="AF16" s="344">
        <f t="shared" si="3"/>
        <v>0.52280000000000004</v>
      </c>
      <c r="AG16" s="345">
        <f t="shared" si="6"/>
        <v>14084.51296</v>
      </c>
      <c r="AH16" s="382">
        <f>AG16+AG13</f>
        <v>25490.642295000001</v>
      </c>
      <c r="AI16" s="382">
        <f t="shared" si="4"/>
        <v>110</v>
      </c>
      <c r="AJ16" s="347"/>
      <c r="AK16" s="339"/>
      <c r="AL16" s="339"/>
      <c r="AO16" s="205" t="s">
        <v>484</v>
      </c>
      <c r="AP16" s="25" t="s">
        <v>432</v>
      </c>
      <c r="BL16" t="s">
        <v>485</v>
      </c>
      <c r="BM16">
        <f t="shared" si="0"/>
        <v>2016.5833333333323</v>
      </c>
      <c r="BN16" s="376">
        <v>53547.7</v>
      </c>
      <c r="BP16" s="121">
        <f t="shared" ref="BP16:BP21" si="8">(BN16-BN4)/BN4</f>
        <v>0.100423336963893</v>
      </c>
      <c r="BW16" s="377" t="s">
        <v>485</v>
      </c>
      <c r="BX16" s="378">
        <v>40617.4</v>
      </c>
      <c r="BZ16" s="121">
        <f t="shared" ref="BZ16:BZ21" si="9">(BX16-BX4)/BX4</f>
        <v>-0.13845612144685851</v>
      </c>
    </row>
    <row r="17" spans="1:78" ht="14.75" x14ac:dyDescent="0.75">
      <c r="A17" s="1161"/>
      <c r="B17" s="341" t="s">
        <v>486</v>
      </c>
      <c r="C17" s="342">
        <f>C16+C13</f>
        <v>22640.400000000001</v>
      </c>
      <c r="D17" s="384">
        <f>D16+D13</f>
        <v>0.25114399999999998</v>
      </c>
      <c r="E17" s="385">
        <f>E16+E13</f>
        <v>0.87988</v>
      </c>
      <c r="F17" s="345">
        <f t="shared" si="5"/>
        <v>22880.600232000001</v>
      </c>
      <c r="G17" s="382">
        <f>F17</f>
        <v>22880.600232000001</v>
      </c>
      <c r="H17" s="382">
        <f>H16+H13</f>
        <v>448</v>
      </c>
      <c r="I17" s="324"/>
      <c r="J17" s="348"/>
      <c r="K17" s="348"/>
      <c r="L17" s="397"/>
      <c r="M17" s="342">
        <f>M16+M13</f>
        <v>2581.8000000000002</v>
      </c>
      <c r="N17" s="384">
        <f>N16+N13</f>
        <v>3.1486E-2</v>
      </c>
      <c r="O17" s="385">
        <f>O16+O13</f>
        <v>0.10324700000000001</v>
      </c>
      <c r="P17" s="345">
        <f t="shared" si="7"/>
        <v>2610.0420630000003</v>
      </c>
      <c r="Q17" s="382">
        <f>P17</f>
        <v>2610.0420630000003</v>
      </c>
      <c r="R17" s="382">
        <f>R16+R13</f>
        <v>161</v>
      </c>
      <c r="S17" s="324"/>
      <c r="T17" s="348"/>
      <c r="U17" s="348"/>
      <c r="V17" s="397"/>
      <c r="AD17" s="342">
        <f t="shared" si="1"/>
        <v>25222.2</v>
      </c>
      <c r="AE17" s="343">
        <f t="shared" si="2"/>
        <v>0.28262999999999999</v>
      </c>
      <c r="AF17" s="344">
        <f t="shared" si="3"/>
        <v>0.98312699999999997</v>
      </c>
      <c r="AG17" s="345">
        <f t="shared" si="6"/>
        <v>25490.642294999998</v>
      </c>
      <c r="AH17" s="382">
        <f>AG17</f>
        <v>25490.642294999998</v>
      </c>
      <c r="AI17" s="382">
        <f t="shared" si="4"/>
        <v>609</v>
      </c>
      <c r="AJ17" s="324"/>
      <c r="AK17" s="348"/>
      <c r="AL17" s="348"/>
      <c r="AO17" s="25" t="s">
        <v>487</v>
      </c>
      <c r="AP17" s="25" t="s">
        <v>488</v>
      </c>
      <c r="AS17" t="s">
        <v>489</v>
      </c>
      <c r="AT17" t="s">
        <v>490</v>
      </c>
      <c r="AU17" s="25" t="s">
        <v>491</v>
      </c>
      <c r="AV17" s="25" t="s">
        <v>492</v>
      </c>
      <c r="AW17" t="s">
        <v>493</v>
      </c>
      <c r="AX17" t="s">
        <v>491</v>
      </c>
      <c r="AY17" t="s">
        <v>494</v>
      </c>
      <c r="AZ17" t="s">
        <v>492</v>
      </c>
      <c r="BA17" t="s">
        <v>463</v>
      </c>
      <c r="BB17" t="s">
        <v>495</v>
      </c>
      <c r="BC17" s="123" t="str">
        <f>AS17</f>
        <v>GRT</v>
      </c>
      <c r="BD17" s="123" t="str">
        <f>AT17</f>
        <v>Farþegar</v>
      </c>
      <c r="BE17" s="123" t="str">
        <f>AW17</f>
        <v>Áhöfn</v>
      </c>
      <c r="BF17" s="123" t="str">
        <f>AY17</f>
        <v>Farþegar og áhöfn</v>
      </c>
      <c r="BG17" s="123" t="str">
        <f>BA17</f>
        <v>Skipakomur</v>
      </c>
      <c r="BH17" s="123" t="str">
        <f>BB17</f>
        <v>Skip</v>
      </c>
      <c r="BI17" s="123"/>
      <c r="BJ17" s="123"/>
      <c r="BL17" t="s">
        <v>496</v>
      </c>
      <c r="BM17">
        <f t="shared" si="0"/>
        <v>2016.6666666666656</v>
      </c>
      <c r="BN17" s="376">
        <v>49609.9</v>
      </c>
      <c r="BP17" s="121">
        <f t="shared" si="8"/>
        <v>-0.11808385064459472</v>
      </c>
      <c r="BW17" s="377" t="s">
        <v>496</v>
      </c>
      <c r="BX17" s="378">
        <v>46332.4</v>
      </c>
      <c r="BZ17" s="121">
        <f t="shared" si="9"/>
        <v>-3.1321019015063581E-2</v>
      </c>
    </row>
    <row r="18" spans="1:78" ht="14.75" x14ac:dyDescent="0.75">
      <c r="A18" s="1161"/>
      <c r="B18" s="341" t="s">
        <v>10</v>
      </c>
      <c r="C18" s="342">
        <v>2040</v>
      </c>
      <c r="D18" s="343">
        <f>26.2/1000</f>
        <v>2.6199999999999998E-2</v>
      </c>
      <c r="E18" s="344">
        <f>89.6/1000</f>
        <v>8.9599999999999999E-2</v>
      </c>
      <c r="F18" s="345">
        <f t="shared" si="5"/>
        <v>2064.4776000000002</v>
      </c>
      <c r="G18" s="382">
        <f>F17+F18</f>
        <v>24945.077832000003</v>
      </c>
      <c r="H18" s="382">
        <v>70</v>
      </c>
      <c r="I18" s="324"/>
      <c r="J18" s="348"/>
      <c r="K18" s="348"/>
      <c r="L18" s="397"/>
      <c r="M18" s="342">
        <v>6140</v>
      </c>
      <c r="N18" s="343">
        <f>80/1000</f>
        <v>0.08</v>
      </c>
      <c r="O18" s="344">
        <f>261/1000</f>
        <v>0.26100000000000001</v>
      </c>
      <c r="P18" s="345">
        <f t="shared" si="7"/>
        <v>6211.4049999999997</v>
      </c>
      <c r="Q18" s="382">
        <f>P17+P18</f>
        <v>8821.4470629999996</v>
      </c>
      <c r="R18" s="382">
        <v>513</v>
      </c>
      <c r="S18" s="324"/>
      <c r="T18" s="348"/>
      <c r="U18" s="348"/>
      <c r="V18" s="397"/>
      <c r="AD18" s="342">
        <f t="shared" si="1"/>
        <v>8180</v>
      </c>
      <c r="AE18" s="343">
        <f t="shared" si="2"/>
        <v>0.1062</v>
      </c>
      <c r="AF18" s="344">
        <f t="shared" si="3"/>
        <v>0.35060000000000002</v>
      </c>
      <c r="AG18" s="345">
        <f t="shared" si="6"/>
        <v>8275.8826000000008</v>
      </c>
      <c r="AH18" s="382">
        <f>AG17+AG18</f>
        <v>33766.524894999995</v>
      </c>
      <c r="AI18" s="382">
        <f t="shared" si="4"/>
        <v>583</v>
      </c>
      <c r="AJ18" s="324"/>
      <c r="AK18" s="348"/>
      <c r="AL18" s="348"/>
      <c r="AN18">
        <v>2015</v>
      </c>
      <c r="AO18">
        <v>108</v>
      </c>
      <c r="AS18">
        <v>4044816</v>
      </c>
      <c r="AT18">
        <v>100141</v>
      </c>
      <c r="AU18">
        <v>103182</v>
      </c>
      <c r="AV18">
        <f>AT18/AU18</f>
        <v>0.97052780523734761</v>
      </c>
      <c r="AW18">
        <v>43017</v>
      </c>
      <c r="AX18">
        <v>43614</v>
      </c>
      <c r="AY18">
        <f t="shared" ref="AY18:AY24" si="10">AW18+AT18</f>
        <v>143158</v>
      </c>
      <c r="AZ18">
        <f>AY18/(AX18+AU18)</f>
        <v>0.97521730837352516</v>
      </c>
      <c r="BA18">
        <v>108</v>
      </c>
      <c r="BB18">
        <v>62</v>
      </c>
      <c r="BL18" t="s">
        <v>497</v>
      </c>
      <c r="BM18">
        <f t="shared" si="0"/>
        <v>2016.7499999999989</v>
      </c>
      <c r="BN18" s="376">
        <v>47625.599999999999</v>
      </c>
      <c r="BP18" s="121">
        <f t="shared" si="8"/>
        <v>-6.3308715790301825E-2</v>
      </c>
      <c r="BW18" s="377" t="s">
        <v>497</v>
      </c>
      <c r="BX18" s="378">
        <v>49157</v>
      </c>
      <c r="BZ18" s="121">
        <f t="shared" si="9"/>
        <v>4.9511080746402494E-2</v>
      </c>
    </row>
    <row r="19" spans="1:78" ht="14.75" x14ac:dyDescent="0.75">
      <c r="A19" s="1161"/>
      <c r="B19" s="341" t="s">
        <v>498</v>
      </c>
      <c r="C19" s="342">
        <v>0</v>
      </c>
      <c r="D19" s="343">
        <v>0</v>
      </c>
      <c r="E19" s="344">
        <v>0</v>
      </c>
      <c r="F19" s="345">
        <f t="shared" si="5"/>
        <v>0</v>
      </c>
      <c r="G19" s="382">
        <f>SUM(F17:F19)</f>
        <v>24945.077832000003</v>
      </c>
      <c r="H19" s="382">
        <v>0</v>
      </c>
      <c r="I19" s="324"/>
      <c r="J19" s="348"/>
      <c r="K19" s="348"/>
      <c r="L19" s="397"/>
      <c r="M19" s="342">
        <v>4230</v>
      </c>
      <c r="N19" s="343">
        <f>29.5/1000</f>
        <v>2.9499999999999998E-2</v>
      </c>
      <c r="O19" s="344">
        <f>199/1000</f>
        <v>0.19900000000000001</v>
      </c>
      <c r="P19" s="345">
        <f t="shared" si="7"/>
        <v>4283.5609999999997</v>
      </c>
      <c r="Q19" s="382">
        <f>SUM(P17:P19)</f>
        <v>13105.008062999999</v>
      </c>
      <c r="R19" s="382">
        <v>5607</v>
      </c>
      <c r="S19" s="324"/>
      <c r="T19" s="348"/>
      <c r="U19" s="348"/>
      <c r="V19" s="397"/>
      <c r="AD19" s="342">
        <f t="shared" si="1"/>
        <v>4230</v>
      </c>
      <c r="AE19" s="343">
        <f t="shared" si="2"/>
        <v>2.9499999999999998E-2</v>
      </c>
      <c r="AF19" s="344">
        <f t="shared" si="3"/>
        <v>0.19900000000000001</v>
      </c>
      <c r="AG19" s="345">
        <f t="shared" si="6"/>
        <v>4283.5609999999997</v>
      </c>
      <c r="AH19" s="382">
        <f>SUM(AG17:AG19)</f>
        <v>38050.085894999997</v>
      </c>
      <c r="AI19" s="382">
        <f t="shared" si="4"/>
        <v>5607</v>
      </c>
      <c r="AJ19" s="324"/>
      <c r="AK19" s="348"/>
      <c r="AL19" s="348"/>
      <c r="AN19">
        <v>2016</v>
      </c>
      <c r="AO19">
        <v>114</v>
      </c>
      <c r="AP19" s="32">
        <f>AI15</f>
        <v>102</v>
      </c>
      <c r="AQ19" s="121">
        <f t="shared" ref="AQ19:AQ23" si="11">AP19/AO19</f>
        <v>0.89473684210526316</v>
      </c>
      <c r="AS19">
        <v>3972064</v>
      </c>
      <c r="AT19">
        <v>98676</v>
      </c>
      <c r="AU19">
        <v>101688</v>
      </c>
      <c r="AV19">
        <f t="shared" ref="AV19:AV24" si="12">AT19/AU19</f>
        <v>0.97037998583903706</v>
      </c>
      <c r="AW19">
        <v>43806</v>
      </c>
      <c r="AX19">
        <v>43819</v>
      </c>
      <c r="AY19">
        <f t="shared" si="10"/>
        <v>142482</v>
      </c>
      <c r="AZ19">
        <f t="shared" ref="AZ19:AZ24" si="13">AY19/(AX19+AU19)</f>
        <v>0.97921062216938015</v>
      </c>
      <c r="BA19">
        <v>114</v>
      </c>
      <c r="BB19">
        <v>60</v>
      </c>
      <c r="BC19" s="123">
        <f t="shared" ref="BC19:BD24" si="14">(AS19-AS18)/AS18</f>
        <v>-1.79864794838628E-2</v>
      </c>
      <c r="BD19" s="123">
        <f t="shared" si="14"/>
        <v>-1.4629372584655636E-2</v>
      </c>
      <c r="BE19" s="123">
        <f t="shared" ref="BE19:BE24" si="15">(AW19-AW18)/AW18</f>
        <v>1.8341585884650253E-2</v>
      </c>
      <c r="BF19" s="123">
        <f t="shared" ref="BF19:BF24" si="16">(AY19-AY18)/AY18</f>
        <v>-4.7220553514298888E-3</v>
      </c>
      <c r="BG19" s="123">
        <f t="shared" ref="BG19:BH24" si="17">(BA19-BA18)/BA18</f>
        <v>5.5555555555555552E-2</v>
      </c>
      <c r="BH19" s="123">
        <f t="shared" si="17"/>
        <v>-3.2258064516129031E-2</v>
      </c>
      <c r="BI19" s="123"/>
      <c r="BJ19" s="123"/>
      <c r="BL19" t="s">
        <v>499</v>
      </c>
      <c r="BM19">
        <f t="shared" si="0"/>
        <v>2016.8333333333321</v>
      </c>
      <c r="BN19" s="376">
        <v>52639.6</v>
      </c>
      <c r="BP19" s="121">
        <f t="shared" si="8"/>
        <v>1.2414870148728413E-2</v>
      </c>
      <c r="BW19" s="377" t="s">
        <v>499</v>
      </c>
      <c r="BX19" s="378">
        <v>41015.199999999997</v>
      </c>
      <c r="BZ19" s="121">
        <f t="shared" si="9"/>
        <v>-0.20352184745522442</v>
      </c>
    </row>
    <row r="20" spans="1:78" ht="15.5" thickBot="1" x14ac:dyDescent="0.9">
      <c r="A20" s="1162"/>
      <c r="B20" s="341" t="s">
        <v>500</v>
      </c>
      <c r="C20" s="350">
        <v>781</v>
      </c>
      <c r="D20" s="351">
        <f>8/1000</f>
        <v>8.0000000000000002E-3</v>
      </c>
      <c r="E20" s="352">
        <f>28.9/1000</f>
        <v>2.8899999999999999E-2</v>
      </c>
      <c r="F20" s="386">
        <f t="shared" si="5"/>
        <v>788.88250000000005</v>
      </c>
      <c r="G20" s="382">
        <f>SUM(F17:F20)</f>
        <v>25733.960332000002</v>
      </c>
      <c r="H20" s="382">
        <v>30</v>
      </c>
      <c r="I20" s="324"/>
      <c r="J20" s="348"/>
      <c r="K20" s="348"/>
      <c r="L20" s="397"/>
      <c r="M20" s="350">
        <v>1170</v>
      </c>
      <c r="N20" s="351">
        <f>7.31/1000</f>
        <v>7.3099999999999997E-3</v>
      </c>
      <c r="O20" s="352">
        <f>31.1/1000</f>
        <v>3.1100000000000003E-2</v>
      </c>
      <c r="P20" s="386">
        <f t="shared" si="7"/>
        <v>1178.4461800000001</v>
      </c>
      <c r="Q20" s="382">
        <f>SUM(P17:P20)</f>
        <v>14283.454243</v>
      </c>
      <c r="R20" s="382">
        <v>114</v>
      </c>
      <c r="S20" s="324"/>
      <c r="T20" s="348"/>
      <c r="U20" s="348"/>
      <c r="V20" s="397"/>
      <c r="AD20" s="350">
        <f t="shared" si="1"/>
        <v>1951</v>
      </c>
      <c r="AE20" s="351">
        <f t="shared" si="2"/>
        <v>1.5310000000000001E-2</v>
      </c>
      <c r="AF20" s="352">
        <f t="shared" si="3"/>
        <v>0.06</v>
      </c>
      <c r="AG20" s="386">
        <f t="shared" si="6"/>
        <v>1967.3286800000001</v>
      </c>
      <c r="AH20" s="382">
        <f>SUM(AG17:AG20)</f>
        <v>40017.414574999995</v>
      </c>
      <c r="AI20" s="382">
        <f t="shared" si="4"/>
        <v>144</v>
      </c>
      <c r="AJ20" s="324"/>
      <c r="AK20" s="348"/>
      <c r="AL20" s="348"/>
      <c r="AN20">
        <v>2017</v>
      </c>
      <c r="AO20">
        <v>135</v>
      </c>
      <c r="AP20" s="32">
        <f>AI28</f>
        <v>129</v>
      </c>
      <c r="AQ20" s="121">
        <f t="shared" si="11"/>
        <v>0.9555555555555556</v>
      </c>
      <c r="AS20">
        <v>4949421</v>
      </c>
      <c r="AT20">
        <v>128275</v>
      </c>
      <c r="AU20">
        <v>129304</v>
      </c>
      <c r="AV20">
        <f t="shared" si="12"/>
        <v>0.9920420095279342</v>
      </c>
      <c r="AW20">
        <v>55400</v>
      </c>
      <c r="AX20">
        <v>55428</v>
      </c>
      <c r="AY20">
        <f t="shared" si="10"/>
        <v>183675</v>
      </c>
      <c r="AZ20">
        <f t="shared" si="13"/>
        <v>0.99427819760517944</v>
      </c>
      <c r="BA20">
        <v>133</v>
      </c>
      <c r="BB20">
        <v>69</v>
      </c>
      <c r="BC20" s="123">
        <f t="shared" si="14"/>
        <v>0.24605771709619986</v>
      </c>
      <c r="BD20" s="123">
        <f t="shared" si="14"/>
        <v>0.29996149012931211</v>
      </c>
      <c r="BE20" s="123">
        <f t="shared" si="15"/>
        <v>0.26466694060174406</v>
      </c>
      <c r="BF20" s="123">
        <f t="shared" si="16"/>
        <v>0.28911020339411292</v>
      </c>
      <c r="BG20" s="123">
        <f t="shared" si="17"/>
        <v>0.16666666666666666</v>
      </c>
      <c r="BH20" s="123">
        <f t="shared" si="17"/>
        <v>0.15</v>
      </c>
      <c r="BI20" s="123"/>
      <c r="BJ20" s="123"/>
      <c r="BL20" t="s">
        <v>501</v>
      </c>
      <c r="BM20">
        <f t="shared" si="0"/>
        <v>2016.9166666666654</v>
      </c>
      <c r="BN20" s="376">
        <v>49451.6</v>
      </c>
      <c r="BP20" s="121">
        <f t="shared" si="8"/>
        <v>-0.13768516500283362</v>
      </c>
      <c r="BW20" s="377" t="s">
        <v>501</v>
      </c>
      <c r="BX20" s="378">
        <v>41515.699999999997</v>
      </c>
      <c r="BZ20" s="121">
        <f t="shared" si="9"/>
        <v>-0.13654306916690248</v>
      </c>
    </row>
    <row r="21" spans="1:78" ht="15.5" thickBot="1" x14ac:dyDescent="0.9">
      <c r="A21" s="354" t="s">
        <v>3</v>
      </c>
      <c r="B21" s="355">
        <f>A9</f>
        <v>2016</v>
      </c>
      <c r="C21" s="356">
        <f>SUM(C17:C20)</f>
        <v>25461.4</v>
      </c>
      <c r="D21" s="387">
        <f>SUM(D17:D20)</f>
        <v>0.28534399999999999</v>
      </c>
      <c r="E21" s="387">
        <f>SUM(E17:E20)</f>
        <v>0.99838000000000005</v>
      </c>
      <c r="F21" s="357">
        <f t="shared" si="5"/>
        <v>25733.960332000002</v>
      </c>
      <c r="G21" s="357">
        <f>G20</f>
        <v>25733.960332000002</v>
      </c>
      <c r="H21" s="357">
        <f>SUM(H17:H20)</f>
        <v>548</v>
      </c>
      <c r="I21" s="358"/>
      <c r="J21" s="359"/>
      <c r="K21" s="359"/>
      <c r="L21" s="397"/>
      <c r="M21" s="356">
        <f>SUM(M17:M20)</f>
        <v>14121.8</v>
      </c>
      <c r="N21" s="387">
        <f>SUM(N17:N20)</f>
        <v>0.14829600000000001</v>
      </c>
      <c r="O21" s="387">
        <f>SUM(O17:O20)</f>
        <v>0.59434700000000007</v>
      </c>
      <c r="P21" s="357">
        <f t="shared" si="7"/>
        <v>14283.454242999998</v>
      </c>
      <c r="Q21" s="357">
        <f>Q20</f>
        <v>14283.454243</v>
      </c>
      <c r="R21" s="357">
        <f>SUM(R17:R20)</f>
        <v>6395</v>
      </c>
      <c r="S21" s="358"/>
      <c r="T21" s="359"/>
      <c r="U21" s="359"/>
      <c r="V21" s="397"/>
      <c r="AD21" s="356">
        <f t="shared" si="1"/>
        <v>39583.199999999997</v>
      </c>
      <c r="AE21" s="356">
        <f t="shared" si="2"/>
        <v>0.43364000000000003</v>
      </c>
      <c r="AF21" s="356">
        <f t="shared" si="3"/>
        <v>1.592727</v>
      </c>
      <c r="AG21" s="357">
        <f t="shared" si="6"/>
        <v>40017.414575000003</v>
      </c>
      <c r="AH21" s="357">
        <f>AH20</f>
        <v>40017.414574999995</v>
      </c>
      <c r="AI21" s="357">
        <f t="shared" si="4"/>
        <v>6943</v>
      </c>
      <c r="AJ21" s="358"/>
      <c r="AK21" s="359"/>
      <c r="AL21" s="359"/>
      <c r="AN21">
        <v>2018</v>
      </c>
      <c r="AO21">
        <v>152</v>
      </c>
      <c r="AP21" s="32">
        <f>AI41</f>
        <v>145</v>
      </c>
      <c r="AQ21" s="121">
        <f t="shared" si="11"/>
        <v>0.95394736842105265</v>
      </c>
      <c r="AS21">
        <v>5700164</v>
      </c>
      <c r="AT21">
        <v>144658</v>
      </c>
      <c r="AU21">
        <v>148539</v>
      </c>
      <c r="AV21">
        <f t="shared" si="12"/>
        <v>0.97387218171658618</v>
      </c>
      <c r="AW21">
        <v>59839</v>
      </c>
      <c r="AX21">
        <v>64151</v>
      </c>
      <c r="AY21">
        <f t="shared" si="10"/>
        <v>204497</v>
      </c>
      <c r="AZ21">
        <f t="shared" si="13"/>
        <v>0.96147914805585599</v>
      </c>
      <c r="BA21">
        <v>166</v>
      </c>
      <c r="BB21">
        <v>72</v>
      </c>
      <c r="BC21" s="123">
        <f t="shared" si="14"/>
        <v>0.15168299483919431</v>
      </c>
      <c r="BD21" s="123">
        <f t="shared" si="14"/>
        <v>0.12771779380237772</v>
      </c>
      <c r="BE21" s="123">
        <f t="shared" si="15"/>
        <v>8.0126353790613725E-2</v>
      </c>
      <c r="BF21" s="123">
        <f t="shared" si="16"/>
        <v>0.11336327752824282</v>
      </c>
      <c r="BG21" s="123">
        <f t="shared" si="17"/>
        <v>0.24812030075187969</v>
      </c>
      <c r="BH21" s="123">
        <f t="shared" si="17"/>
        <v>4.3478260869565216E-2</v>
      </c>
      <c r="BI21" s="123"/>
      <c r="BJ21" s="123"/>
      <c r="BL21" t="s">
        <v>502</v>
      </c>
      <c r="BM21">
        <f t="shared" si="0"/>
        <v>2016.9999999999986</v>
      </c>
      <c r="BN21" s="376">
        <v>46446.7</v>
      </c>
      <c r="BP21" s="121">
        <f t="shared" si="8"/>
        <v>-1.8567428346704057E-3</v>
      </c>
      <c r="BW21" s="377" t="s">
        <v>502</v>
      </c>
      <c r="BX21" s="378">
        <v>37693.599999999999</v>
      </c>
      <c r="BZ21" s="121">
        <f t="shared" si="9"/>
        <v>-0.17838770990635955</v>
      </c>
    </row>
    <row r="22" spans="1:78" ht="15" customHeight="1" x14ac:dyDescent="0.75">
      <c r="A22" s="1161">
        <v>2017</v>
      </c>
      <c r="B22" s="333" t="s">
        <v>469</v>
      </c>
      <c r="C22" s="334">
        <v>34.4</v>
      </c>
      <c r="D22" s="335">
        <f>0.454/1000</f>
        <v>4.5400000000000003E-4</v>
      </c>
      <c r="E22" s="336">
        <f>1.44/1000</f>
        <v>1.4399999999999999E-3</v>
      </c>
      <c r="F22" s="337">
        <f t="shared" si="5"/>
        <v>34.794311999999998</v>
      </c>
      <c r="G22" s="381">
        <f>F22</f>
        <v>34.794311999999998</v>
      </c>
      <c r="H22" s="381">
        <v>2</v>
      </c>
      <c r="I22" s="1176" t="s">
        <v>358</v>
      </c>
      <c r="J22" s="390">
        <f>(H22-H9)/H9</f>
        <v>-0.33333333333333331</v>
      </c>
      <c r="K22" s="361">
        <f t="shared" ref="K22:K53" si="18">(F22-F9)/F9</f>
        <v>-0.44661001974557402</v>
      </c>
      <c r="M22" s="334">
        <v>8.9499999999999993</v>
      </c>
      <c r="N22" s="335">
        <f>0.127/1000</f>
        <v>1.27E-4</v>
      </c>
      <c r="O22" s="336">
        <f>0.371/1000</f>
        <v>3.7100000000000002E-4</v>
      </c>
      <c r="P22" s="337">
        <f t="shared" si="7"/>
        <v>9.0518709999999984</v>
      </c>
      <c r="Q22" s="381">
        <f>P22</f>
        <v>9.0518709999999984</v>
      </c>
      <c r="R22" s="381">
        <v>1</v>
      </c>
      <c r="S22" s="1176" t="s">
        <v>358</v>
      </c>
      <c r="T22" s="360" t="e">
        <f>(R22-R9)/R9</f>
        <v>#DIV/0!</v>
      </c>
      <c r="U22" s="361" t="e">
        <f t="shared" ref="U22:U53" si="19">(P22-P9)/P9</f>
        <v>#DIV/0!</v>
      </c>
      <c r="AD22" s="334">
        <f t="shared" si="1"/>
        <v>43.349999999999994</v>
      </c>
      <c r="AE22" s="335">
        <f t="shared" si="2"/>
        <v>5.8100000000000003E-4</v>
      </c>
      <c r="AF22" s="336">
        <f t="shared" si="3"/>
        <v>1.8109999999999999E-3</v>
      </c>
      <c r="AG22" s="337">
        <f t="shared" si="6"/>
        <v>43.846182999999989</v>
      </c>
      <c r="AH22" s="381">
        <f>AG22</f>
        <v>43.846182999999989</v>
      </c>
      <c r="AI22" s="381">
        <f t="shared" si="4"/>
        <v>3</v>
      </c>
      <c r="AJ22" s="1176" t="s">
        <v>358</v>
      </c>
      <c r="AK22" s="360">
        <f>(AI22-AI9)/AI9</f>
        <v>0</v>
      </c>
      <c r="AL22" s="361">
        <f t="shared" ref="AL22:AL53" si="20">(AG22-AG9)/AG9</f>
        <v>-0.30264353712175873</v>
      </c>
      <c r="AN22">
        <v>2019</v>
      </c>
      <c r="AO22">
        <v>190</v>
      </c>
      <c r="AP22" s="32">
        <f>AI54</f>
        <v>165</v>
      </c>
      <c r="AQ22" s="121">
        <f t="shared" si="11"/>
        <v>0.86842105263157898</v>
      </c>
      <c r="AS22">
        <v>7208722</v>
      </c>
      <c r="AT22">
        <v>188630</v>
      </c>
      <c r="AU22">
        <v>182508</v>
      </c>
      <c r="AV22">
        <f t="shared" si="12"/>
        <v>1.0335437350691477</v>
      </c>
      <c r="AW22">
        <v>76339</v>
      </c>
      <c r="AX22">
        <v>79853</v>
      </c>
      <c r="AY22">
        <f t="shared" si="10"/>
        <v>264969</v>
      </c>
      <c r="AZ22">
        <f t="shared" si="13"/>
        <v>1.0099405018276344</v>
      </c>
      <c r="BA22">
        <v>190</v>
      </c>
      <c r="BB22">
        <v>84</v>
      </c>
      <c r="BC22" s="123">
        <f t="shared" si="14"/>
        <v>0.2646516837059425</v>
      </c>
      <c r="BD22" s="123">
        <f t="shared" si="14"/>
        <v>0.3039721273624687</v>
      </c>
      <c r="BE22" s="123">
        <f t="shared" si="15"/>
        <v>0.27573990207055599</v>
      </c>
      <c r="BF22" s="123">
        <f t="shared" si="16"/>
        <v>0.29571093952478522</v>
      </c>
      <c r="BG22" s="123">
        <f t="shared" si="17"/>
        <v>0.14457831325301204</v>
      </c>
      <c r="BH22" s="123">
        <f t="shared" si="17"/>
        <v>0.16666666666666666</v>
      </c>
      <c r="BI22" s="123"/>
      <c r="BJ22" s="123"/>
      <c r="BL22" t="s">
        <v>503</v>
      </c>
      <c r="BM22">
        <f t="shared" si="0"/>
        <v>2017.0833333333319</v>
      </c>
      <c r="BN22" s="376">
        <v>44502.9</v>
      </c>
      <c r="BP22" s="121">
        <f>(BN22-BN10)/BN10</f>
        <v>-1.9007962050205791E-2</v>
      </c>
      <c r="BW22" s="377" t="s">
        <v>503</v>
      </c>
      <c r="BX22" s="378">
        <v>33443.599999999999</v>
      </c>
      <c r="BZ22" s="121">
        <f>(BX22-BX10)/BX10</f>
        <v>-0.21347114921038091</v>
      </c>
    </row>
    <row r="23" spans="1:78" ht="14.75" x14ac:dyDescent="0.75">
      <c r="A23" s="1161"/>
      <c r="B23" s="341" t="s">
        <v>471</v>
      </c>
      <c r="C23" s="342">
        <v>10700</v>
      </c>
      <c r="D23" s="343">
        <f>136/1000</f>
        <v>0.13600000000000001</v>
      </c>
      <c r="E23" s="344">
        <f>433/1000</f>
        <v>0.433</v>
      </c>
      <c r="F23" s="345">
        <f t="shared" si="5"/>
        <v>10818.553000000002</v>
      </c>
      <c r="G23" s="382">
        <f>F23+F22</f>
        <v>10853.347312000002</v>
      </c>
      <c r="H23" s="382">
        <v>279</v>
      </c>
      <c r="I23" s="1176"/>
      <c r="J23" s="391">
        <f t="shared" ref="J23:J60" si="21">(H23-H10)/H10</f>
        <v>0.19742489270386265</v>
      </c>
      <c r="K23" s="365">
        <f t="shared" si="18"/>
        <v>0.25882259444293987</v>
      </c>
      <c r="M23" s="342">
        <v>84.6</v>
      </c>
      <c r="N23" s="343">
        <f>1.02/1000</f>
        <v>1.0200000000000001E-3</v>
      </c>
      <c r="O23" s="344">
        <f>3.38/1000</f>
        <v>3.3799999999999998E-3</v>
      </c>
      <c r="P23" s="345">
        <f t="shared" si="7"/>
        <v>85.524259999999998</v>
      </c>
      <c r="Q23" s="382">
        <f>P23+P22</f>
        <v>94.576131000000004</v>
      </c>
      <c r="R23" s="382">
        <v>5</v>
      </c>
      <c r="S23" s="1176"/>
      <c r="T23" s="364">
        <f t="shared" ref="T23:T58" si="22">(R23-R10)/R10</f>
        <v>0.25</v>
      </c>
      <c r="U23" s="365">
        <f t="shared" si="19"/>
        <v>3.3390101928175917</v>
      </c>
      <c r="AD23" s="342">
        <f t="shared" si="1"/>
        <v>10784.6</v>
      </c>
      <c r="AE23" s="343">
        <f t="shared" si="2"/>
        <v>0.13702</v>
      </c>
      <c r="AF23" s="344">
        <f t="shared" si="3"/>
        <v>0.43637999999999999</v>
      </c>
      <c r="AG23" s="345">
        <f t="shared" si="6"/>
        <v>10904.07726</v>
      </c>
      <c r="AH23" s="382">
        <f>AG23+AG22</f>
        <v>10947.923443</v>
      </c>
      <c r="AI23" s="382">
        <f t="shared" si="4"/>
        <v>284</v>
      </c>
      <c r="AJ23" s="1176"/>
      <c r="AK23" s="364">
        <f t="shared" ref="AK23:AK57" si="23">(AI23-AI10)/AI10</f>
        <v>0.19831223628691982</v>
      </c>
      <c r="AL23" s="365">
        <f t="shared" si="20"/>
        <v>0.26587076284367606</v>
      </c>
      <c r="AN23">
        <v>2020</v>
      </c>
      <c r="AO23">
        <v>7</v>
      </c>
      <c r="AP23" s="32">
        <f>AI67</f>
        <v>7</v>
      </c>
      <c r="AQ23" s="121">
        <f t="shared" si="11"/>
        <v>1</v>
      </c>
      <c r="AS23">
        <v>106496</v>
      </c>
      <c r="AT23">
        <v>1346</v>
      </c>
      <c r="AU23">
        <v>2966</v>
      </c>
      <c r="AV23">
        <f t="shared" si="12"/>
        <v>0.45380984490896831</v>
      </c>
      <c r="AW23">
        <v>1170</v>
      </c>
      <c r="AX23">
        <v>1700</v>
      </c>
      <c r="AY23">
        <f t="shared" si="10"/>
        <v>2516</v>
      </c>
      <c r="AZ23">
        <f t="shared" si="13"/>
        <v>0.53921988855550795</v>
      </c>
      <c r="BA23">
        <v>7</v>
      </c>
      <c r="BB23">
        <v>3</v>
      </c>
      <c r="BC23" s="123">
        <f t="shared" si="14"/>
        <v>-0.98522678499739624</v>
      </c>
      <c r="BD23" s="123">
        <f t="shared" si="14"/>
        <v>-0.99286433759211157</v>
      </c>
      <c r="BE23" s="123">
        <f t="shared" si="15"/>
        <v>-0.98467362684866189</v>
      </c>
      <c r="BF23" s="123">
        <f t="shared" si="16"/>
        <v>-0.99050454958881984</v>
      </c>
      <c r="BG23" s="123">
        <f t="shared" si="17"/>
        <v>-0.9631578947368421</v>
      </c>
      <c r="BH23" s="123">
        <f t="shared" si="17"/>
        <v>-0.9642857142857143</v>
      </c>
      <c r="BI23" s="123"/>
      <c r="BJ23" s="123"/>
      <c r="BL23" t="s">
        <v>504</v>
      </c>
      <c r="BM23">
        <f t="shared" si="0"/>
        <v>2017.1666666666652</v>
      </c>
      <c r="BN23" s="376">
        <v>55858.8</v>
      </c>
      <c r="BP23" s="121">
        <f t="shared" ref="BP23:BP42" si="24">(BN23-BN11)/BN11</f>
        <v>-0.15759851603854677</v>
      </c>
      <c r="BW23" s="377" t="s">
        <v>504</v>
      </c>
      <c r="BX23" s="378">
        <v>39625.699999999997</v>
      </c>
      <c r="BZ23" s="121">
        <f t="shared" ref="BZ23:BZ42" si="25">(BX23-BX11)/BX11</f>
        <v>-0.10355382314815027</v>
      </c>
    </row>
    <row r="24" spans="1:78" ht="14.75" x14ac:dyDescent="0.75">
      <c r="A24" s="1161"/>
      <c r="B24" s="341" t="s">
        <v>473</v>
      </c>
      <c r="C24" s="342">
        <v>1610</v>
      </c>
      <c r="D24" s="343">
        <f>21.2/1000</f>
        <v>2.12E-2</v>
      </c>
      <c r="E24" s="344">
        <f>68.2/1000</f>
        <v>6.8199999999999997E-2</v>
      </c>
      <c r="F24" s="345">
        <f t="shared" si="5"/>
        <v>1628.6666</v>
      </c>
      <c r="G24" s="382">
        <f>F24+F23+F22</f>
        <v>12482.013912000002</v>
      </c>
      <c r="H24" s="382">
        <v>174</v>
      </c>
      <c r="I24" s="1176"/>
      <c r="J24" s="391">
        <f t="shared" si="21"/>
        <v>0.20833333333333334</v>
      </c>
      <c r="K24" s="365">
        <f t="shared" si="18"/>
        <v>7.3121128124013141E-2</v>
      </c>
      <c r="M24" s="342">
        <v>67.8</v>
      </c>
      <c r="N24" s="343">
        <f>0.872/1000</f>
        <v>8.7199999999999995E-4</v>
      </c>
      <c r="O24" s="344">
        <f>2.85/1000</f>
        <v>2.8500000000000001E-3</v>
      </c>
      <c r="P24" s="345">
        <f t="shared" si="7"/>
        <v>68.579666000000003</v>
      </c>
      <c r="Q24" s="382">
        <f>P24+P23+P22</f>
        <v>163.15579700000001</v>
      </c>
      <c r="R24" s="382">
        <v>8</v>
      </c>
      <c r="S24" s="1176"/>
      <c r="T24" s="364">
        <f t="shared" si="22"/>
        <v>1.6666666666666667</v>
      </c>
      <c r="U24" s="365">
        <f t="shared" si="19"/>
        <v>2.3390043126337918</v>
      </c>
      <c r="AD24" s="342">
        <f t="shared" si="1"/>
        <v>1677.8</v>
      </c>
      <c r="AE24" s="343">
        <f t="shared" si="2"/>
        <v>2.2072000000000001E-2</v>
      </c>
      <c r="AF24" s="344">
        <f t="shared" si="3"/>
        <v>7.1050000000000002E-2</v>
      </c>
      <c r="AG24" s="345">
        <f t="shared" si="6"/>
        <v>1697.2462659999999</v>
      </c>
      <c r="AH24" s="382">
        <f>AG24+AG23+AG22</f>
        <v>12645.169709</v>
      </c>
      <c r="AI24" s="382">
        <f t="shared" si="4"/>
        <v>182</v>
      </c>
      <c r="AJ24" s="1176"/>
      <c r="AK24" s="364">
        <f t="shared" si="23"/>
        <v>0.23809523809523808</v>
      </c>
      <c r="AL24" s="365">
        <f t="shared" si="20"/>
        <v>0.10337594666102055</v>
      </c>
      <c r="AN24">
        <v>2021</v>
      </c>
      <c r="AO24">
        <v>68</v>
      </c>
      <c r="AP24" s="32">
        <f>AI80</f>
        <v>58</v>
      </c>
      <c r="AQ24" s="121">
        <f>AP24/AO24</f>
        <v>0.8529411764705882</v>
      </c>
      <c r="AS24">
        <v>1717775</v>
      </c>
      <c r="AT24">
        <v>18950</v>
      </c>
      <c r="AU24">
        <v>31897</v>
      </c>
      <c r="AV24">
        <f t="shared" si="12"/>
        <v>0.59409975859798725</v>
      </c>
      <c r="AW24">
        <v>19138</v>
      </c>
      <c r="AX24">
        <v>17776</v>
      </c>
      <c r="AY24">
        <f t="shared" si="10"/>
        <v>38088</v>
      </c>
      <c r="AZ24">
        <f t="shared" si="13"/>
        <v>0.76677470658103997</v>
      </c>
      <c r="BA24">
        <v>68</v>
      </c>
      <c r="BB24">
        <v>15</v>
      </c>
      <c r="BC24" s="123">
        <f t="shared" si="14"/>
        <v>15.12994854266827</v>
      </c>
      <c r="BD24" s="123">
        <f t="shared" si="14"/>
        <v>13.078751857355126</v>
      </c>
      <c r="BE24" s="123">
        <f t="shared" si="15"/>
        <v>15.357264957264958</v>
      </c>
      <c r="BF24" s="123">
        <f t="shared" si="16"/>
        <v>14.138314785373609</v>
      </c>
      <c r="BG24" s="123">
        <f t="shared" si="17"/>
        <v>8.7142857142857135</v>
      </c>
      <c r="BH24" s="123">
        <f t="shared" si="17"/>
        <v>4</v>
      </c>
      <c r="BL24" t="s">
        <v>505</v>
      </c>
      <c r="BM24">
        <f t="shared" si="0"/>
        <v>2017.2499999999984</v>
      </c>
      <c r="BN24" s="376">
        <v>51902.9</v>
      </c>
      <c r="BP24" s="121">
        <f t="shared" si="24"/>
        <v>-3.5443160298902938E-2</v>
      </c>
      <c r="BW24" s="377" t="s">
        <v>505</v>
      </c>
      <c r="BX24" s="378">
        <v>41323.5</v>
      </c>
      <c r="BZ24" s="121">
        <f t="shared" si="25"/>
        <v>-0.12492482444920679</v>
      </c>
    </row>
    <row r="25" spans="1:78" ht="14.75" x14ac:dyDescent="0.75">
      <c r="A25" s="1161"/>
      <c r="B25" s="341" t="s">
        <v>475</v>
      </c>
      <c r="C25" s="342">
        <v>62.1</v>
      </c>
      <c r="D25" s="343">
        <f>0.747/1000</f>
        <v>7.4700000000000005E-4</v>
      </c>
      <c r="E25" s="344">
        <f>2.43/1000</f>
        <v>2.4300000000000003E-3</v>
      </c>
      <c r="F25" s="345">
        <f t="shared" si="5"/>
        <v>62.764865999999998</v>
      </c>
      <c r="G25" s="382">
        <f>SUM(F22:F25)</f>
        <v>12544.778778000002</v>
      </c>
      <c r="H25" s="382">
        <v>5</v>
      </c>
      <c r="I25" s="1176"/>
      <c r="J25" s="391">
        <f t="shared" si="21"/>
        <v>-0.16666666666666666</v>
      </c>
      <c r="K25" s="365">
        <f t="shared" si="18"/>
        <v>-0.20704457218734704</v>
      </c>
      <c r="M25" s="342">
        <v>906.5</v>
      </c>
      <c r="N25" s="343">
        <f>31.1/1000</f>
        <v>3.1100000000000003E-2</v>
      </c>
      <c r="O25" s="344">
        <f>35.4/1000</f>
        <v>3.5400000000000001E-2</v>
      </c>
      <c r="P25" s="345">
        <f t="shared" si="7"/>
        <v>916.7518</v>
      </c>
      <c r="Q25" s="382">
        <f>SUM(P22:P25)</f>
        <v>1079.9075969999999</v>
      </c>
      <c r="R25" s="382">
        <v>108</v>
      </c>
      <c r="S25" s="1176"/>
      <c r="T25" s="364">
        <f t="shared" si="22"/>
        <v>1.8867924528301886E-2</v>
      </c>
      <c r="U25" s="365">
        <f t="shared" si="19"/>
        <v>-0.17556556495883094</v>
      </c>
      <c r="AD25" s="342">
        <f t="shared" si="1"/>
        <v>968.6</v>
      </c>
      <c r="AE25" s="343">
        <f t="shared" si="2"/>
        <v>3.1847E-2</v>
      </c>
      <c r="AF25" s="344">
        <f t="shared" si="3"/>
        <v>3.7830000000000003E-2</v>
      </c>
      <c r="AG25" s="345">
        <f t="shared" si="6"/>
        <v>979.51666599999999</v>
      </c>
      <c r="AH25" s="382">
        <f>SUM(AG22:AG25)</f>
        <v>13624.686374999999</v>
      </c>
      <c r="AI25" s="382">
        <f t="shared" si="4"/>
        <v>113</v>
      </c>
      <c r="AJ25" s="1176"/>
      <c r="AK25" s="364">
        <f t="shared" si="23"/>
        <v>8.9285714285714281E-3</v>
      </c>
      <c r="AL25" s="365">
        <f t="shared" si="20"/>
        <v>-0.17765741144548206</v>
      </c>
      <c r="AN25">
        <v>2022</v>
      </c>
      <c r="AO25" s="838">
        <v>184</v>
      </c>
      <c r="AP25" s="32">
        <f>AI93</f>
        <v>179</v>
      </c>
      <c r="AQ25" s="121">
        <f>AP25/AO25</f>
        <v>0.97282608695652173</v>
      </c>
      <c r="AT25" s="811" t="s">
        <v>506</v>
      </c>
      <c r="BL25" t="s">
        <v>507</v>
      </c>
      <c r="BM25">
        <f t="shared" si="0"/>
        <v>2017.3333333333317</v>
      </c>
      <c r="BN25" s="376">
        <v>73176.800000000003</v>
      </c>
      <c r="BP25" s="121">
        <f t="shared" si="24"/>
        <v>0.14275184428661564</v>
      </c>
      <c r="BW25" s="377" t="s">
        <v>507</v>
      </c>
      <c r="BX25" s="378">
        <v>49096.9</v>
      </c>
      <c r="BZ25" s="121">
        <f t="shared" si="25"/>
        <v>4.9781157055894316E-2</v>
      </c>
    </row>
    <row r="26" spans="1:78" ht="14.75" x14ac:dyDescent="0.75">
      <c r="A26" s="1161"/>
      <c r="B26" s="375" t="s">
        <v>477</v>
      </c>
      <c r="C26" s="342">
        <f>SUM(C22:C25)</f>
        <v>12406.5</v>
      </c>
      <c r="D26" s="343">
        <f>SUM(D22:D25)</f>
        <v>0.15840100000000001</v>
      </c>
      <c r="E26" s="344">
        <f>SUM(E22:E25)</f>
        <v>0.50507000000000002</v>
      </c>
      <c r="F26" s="383">
        <f t="shared" si="5"/>
        <v>12544.778778</v>
      </c>
      <c r="G26" s="382">
        <f>SUM(F26)</f>
        <v>12544.778778</v>
      </c>
      <c r="H26" s="382">
        <f>SUM(H22:H25)</f>
        <v>460</v>
      </c>
      <c r="I26" s="1176"/>
      <c r="J26" s="391">
        <f t="shared" si="21"/>
        <v>0.19170984455958548</v>
      </c>
      <c r="K26" s="365">
        <f t="shared" si="18"/>
        <v>0.22341497614788483</v>
      </c>
      <c r="M26" s="342">
        <f>SUM(M22:M25)</f>
        <v>1067.8499999999999</v>
      </c>
      <c r="N26" s="343">
        <f>SUM(N22:N25)</f>
        <v>3.3119000000000003E-2</v>
      </c>
      <c r="O26" s="344">
        <f>SUM(O22:O25)</f>
        <v>4.2001000000000004E-2</v>
      </c>
      <c r="P26" s="383">
        <f t="shared" si="7"/>
        <v>1079.9075969999999</v>
      </c>
      <c r="Q26" s="382">
        <f>SUM(P26)</f>
        <v>1079.9075969999999</v>
      </c>
      <c r="R26" s="382">
        <f>SUM(R22:R25)</f>
        <v>122</v>
      </c>
      <c r="S26" s="1176"/>
      <c r="T26" s="364">
        <f t="shared" si="22"/>
        <v>7.9646017699115043E-2</v>
      </c>
      <c r="U26" s="365">
        <f t="shared" si="19"/>
        <v>-6.2764162182845529E-2</v>
      </c>
      <c r="AD26" s="342">
        <f t="shared" si="1"/>
        <v>13474.35</v>
      </c>
      <c r="AE26" s="343">
        <f t="shared" si="2"/>
        <v>0.19152000000000002</v>
      </c>
      <c r="AF26" s="344">
        <f t="shared" si="3"/>
        <v>0.54707099999999997</v>
      </c>
      <c r="AG26" s="383">
        <f t="shared" si="6"/>
        <v>13624.686374999999</v>
      </c>
      <c r="AH26" s="382">
        <f>SUM(AG26)</f>
        <v>13624.686374999999</v>
      </c>
      <c r="AI26" s="382">
        <f t="shared" si="4"/>
        <v>582</v>
      </c>
      <c r="AJ26" s="1176"/>
      <c r="AK26" s="364">
        <f t="shared" si="23"/>
        <v>0.16633266533066132</v>
      </c>
      <c r="AL26" s="365">
        <f t="shared" si="20"/>
        <v>0.19450568855047948</v>
      </c>
      <c r="AO26" s="811"/>
      <c r="BL26" t="s">
        <v>508</v>
      </c>
      <c r="BM26">
        <f t="shared" si="0"/>
        <v>2017.4166666666649</v>
      </c>
      <c r="BN26" s="376">
        <v>59967.5</v>
      </c>
      <c r="BP26" s="121">
        <f t="shared" si="24"/>
        <v>-4.8598540076502356E-2</v>
      </c>
      <c r="BW26" s="377" t="s">
        <v>508</v>
      </c>
      <c r="BX26" s="378">
        <v>44976</v>
      </c>
      <c r="BZ26" s="121">
        <f t="shared" si="25"/>
        <v>-6.9838623950166406E-2</v>
      </c>
    </row>
    <row r="27" spans="1:78" ht="14.75" x14ac:dyDescent="0.75">
      <c r="A27" s="1161"/>
      <c r="B27" s="341" t="s">
        <v>479</v>
      </c>
      <c r="C27" s="342">
        <v>0</v>
      </c>
      <c r="D27" s="343">
        <v>0</v>
      </c>
      <c r="E27" s="344">
        <v>0</v>
      </c>
      <c r="F27" s="383">
        <f t="shared" si="5"/>
        <v>0</v>
      </c>
      <c r="G27" s="382">
        <f>F26+F27</f>
        <v>12544.778778</v>
      </c>
      <c r="H27" s="382">
        <v>0</v>
      </c>
      <c r="I27" s="1176"/>
      <c r="J27" s="391" t="e">
        <f t="shared" si="21"/>
        <v>#DIV/0!</v>
      </c>
      <c r="K27" s="365" t="e">
        <f t="shared" si="18"/>
        <v>#DIV/0!</v>
      </c>
      <c r="M27" s="342">
        <v>188</v>
      </c>
      <c r="N27" s="343">
        <f>2.55/1000</f>
        <v>2.5499999999999997E-3</v>
      </c>
      <c r="O27" s="344">
        <f>8.02/1000</f>
        <v>8.0199999999999994E-3</v>
      </c>
      <c r="P27" s="383">
        <f t="shared" si="7"/>
        <v>190.19670000000002</v>
      </c>
      <c r="Q27" s="382">
        <f>P26+P27</f>
        <v>1270.1042969999999</v>
      </c>
      <c r="R27" s="382">
        <v>6</v>
      </c>
      <c r="S27" s="1176"/>
      <c r="T27" s="364">
        <f t="shared" si="22"/>
        <v>-0.25</v>
      </c>
      <c r="U27" s="365">
        <f t="shared" si="19"/>
        <v>-0.22310620273456644</v>
      </c>
      <c r="AD27" s="342">
        <f t="shared" si="1"/>
        <v>188</v>
      </c>
      <c r="AE27" s="343">
        <f t="shared" si="2"/>
        <v>2.5499999999999997E-3</v>
      </c>
      <c r="AF27" s="344">
        <f t="shared" si="3"/>
        <v>8.0199999999999994E-3</v>
      </c>
      <c r="AG27" s="383">
        <f t="shared" si="6"/>
        <v>190.19670000000002</v>
      </c>
      <c r="AH27" s="382">
        <f>AG26+AG27</f>
        <v>13814.883075</v>
      </c>
      <c r="AI27" s="382">
        <f t="shared" si="4"/>
        <v>6</v>
      </c>
      <c r="AJ27" s="1176"/>
      <c r="AK27" s="364">
        <f t="shared" si="23"/>
        <v>-0.25</v>
      </c>
      <c r="AL27" s="365">
        <f t="shared" si="20"/>
        <v>-0.22310620273456644</v>
      </c>
      <c r="BL27" t="s">
        <v>509</v>
      </c>
      <c r="BM27">
        <f t="shared" si="0"/>
        <v>2017.4999999999982</v>
      </c>
      <c r="BN27" s="376">
        <v>59997.599999999999</v>
      </c>
      <c r="BP27" s="121">
        <f t="shared" si="24"/>
        <v>0.11824205317453658</v>
      </c>
      <c r="BW27" s="377" t="s">
        <v>509</v>
      </c>
      <c r="BX27" s="378">
        <v>38653.1</v>
      </c>
      <c r="BZ27" s="121">
        <f t="shared" si="25"/>
        <v>-0.11874650889732456</v>
      </c>
    </row>
    <row r="28" spans="1:78" ht="18" x14ac:dyDescent="0.8">
      <c r="A28" s="1161"/>
      <c r="B28" s="341" t="s">
        <v>480</v>
      </c>
      <c r="C28" s="342">
        <v>10500</v>
      </c>
      <c r="D28" s="343">
        <v>0.112</v>
      </c>
      <c r="E28" s="344">
        <v>0.40600000000000003</v>
      </c>
      <c r="F28" s="345">
        <f t="shared" si="5"/>
        <v>10610.726000000001</v>
      </c>
      <c r="G28" s="382">
        <f>F28+F27+F26</f>
        <v>23155.504778000002</v>
      </c>
      <c r="H28" s="382">
        <v>80</v>
      </c>
      <c r="I28" s="1176"/>
      <c r="J28" s="391">
        <f t="shared" si="21"/>
        <v>0.29032258064516131</v>
      </c>
      <c r="K28" s="365">
        <f t="shared" si="18"/>
        <v>-0.15965941053309504</v>
      </c>
      <c r="M28" s="342">
        <v>929</v>
      </c>
      <c r="N28" s="343">
        <f>12/1000</f>
        <v>1.2E-2</v>
      </c>
      <c r="O28" s="344">
        <f>38.5/1000</f>
        <v>3.85E-2</v>
      </c>
      <c r="P28" s="345">
        <f t="shared" si="7"/>
        <v>939.5385</v>
      </c>
      <c r="Q28" s="382">
        <f>P28+P27+P26</f>
        <v>2209.642797</v>
      </c>
      <c r="R28" s="382">
        <v>49</v>
      </c>
      <c r="S28" s="1176"/>
      <c r="T28" s="364">
        <f t="shared" si="22"/>
        <v>0.22500000000000001</v>
      </c>
      <c r="U28" s="365">
        <f t="shared" si="19"/>
        <v>-0.22544171714554445</v>
      </c>
      <c r="AD28" s="342">
        <f t="shared" si="1"/>
        <v>11429</v>
      </c>
      <c r="AE28" s="343">
        <f t="shared" si="2"/>
        <v>0.124</v>
      </c>
      <c r="AF28" s="344">
        <f t="shared" si="3"/>
        <v>0.44450000000000001</v>
      </c>
      <c r="AG28" s="345">
        <f t="shared" si="6"/>
        <v>11550.264499999999</v>
      </c>
      <c r="AH28" s="382">
        <f>AG28+AG27+AG26</f>
        <v>25365.147574999999</v>
      </c>
      <c r="AI28" s="382">
        <f t="shared" si="4"/>
        <v>129</v>
      </c>
      <c r="AJ28" s="1176"/>
      <c r="AK28" s="364">
        <f t="shared" si="23"/>
        <v>0.26470588235294118</v>
      </c>
      <c r="AL28" s="365">
        <f t="shared" si="20"/>
        <v>-0.16542499079875028</v>
      </c>
      <c r="AO28" s="404" t="s">
        <v>500</v>
      </c>
      <c r="BL28" t="s">
        <v>510</v>
      </c>
      <c r="BM28">
        <f t="shared" si="0"/>
        <v>2017.5833333333314</v>
      </c>
      <c r="BN28" s="376">
        <v>52056.800000000003</v>
      </c>
      <c r="BP28" s="121">
        <f t="shared" si="24"/>
        <v>-2.7842465689469281E-2</v>
      </c>
      <c r="BW28" s="377" t="s">
        <v>510</v>
      </c>
      <c r="BX28" s="378">
        <v>45161.4</v>
      </c>
      <c r="BZ28" s="121">
        <f t="shared" si="25"/>
        <v>0.1118732365931842</v>
      </c>
    </row>
    <row r="29" spans="1:78" ht="14.75" x14ac:dyDescent="0.75">
      <c r="A29" s="1161"/>
      <c r="B29" s="341" t="s">
        <v>483</v>
      </c>
      <c r="C29" s="342">
        <f>C28+C27</f>
        <v>10500</v>
      </c>
      <c r="D29" s="343">
        <f>D28+D27</f>
        <v>0.112</v>
      </c>
      <c r="E29" s="344">
        <f>E28+E27</f>
        <v>0.40600000000000003</v>
      </c>
      <c r="F29" s="345">
        <f t="shared" si="5"/>
        <v>10610.726000000001</v>
      </c>
      <c r="G29" s="382">
        <f>F29+F26</f>
        <v>23155.504778000002</v>
      </c>
      <c r="H29" s="382">
        <f>H28+H27</f>
        <v>80</v>
      </c>
      <c r="I29" s="1176"/>
      <c r="J29" s="391">
        <f t="shared" si="21"/>
        <v>0.29032258064516131</v>
      </c>
      <c r="K29" s="365">
        <f t="shared" si="18"/>
        <v>-0.15965941053309504</v>
      </c>
      <c r="M29" s="342">
        <f>M28+M27</f>
        <v>1117</v>
      </c>
      <c r="N29" s="343">
        <f>N28+N27</f>
        <v>1.455E-2</v>
      </c>
      <c r="O29" s="344">
        <f>O28+O27</f>
        <v>4.6519999999999999E-2</v>
      </c>
      <c r="P29" s="345">
        <f t="shared" si="7"/>
        <v>1129.7352000000001</v>
      </c>
      <c r="Q29" s="382">
        <f>P29+P26</f>
        <v>2209.642797</v>
      </c>
      <c r="R29" s="382">
        <f>R28+R27</f>
        <v>55</v>
      </c>
      <c r="S29" s="1176"/>
      <c r="T29" s="364">
        <f t="shared" si="22"/>
        <v>0.14583333333333334</v>
      </c>
      <c r="U29" s="365">
        <f t="shared" si="19"/>
        <v>-0.22504950487714501</v>
      </c>
      <c r="AD29" s="342">
        <f t="shared" si="1"/>
        <v>11617</v>
      </c>
      <c r="AE29" s="343">
        <f t="shared" si="2"/>
        <v>0.12655</v>
      </c>
      <c r="AF29" s="344">
        <f t="shared" si="3"/>
        <v>0.45252000000000003</v>
      </c>
      <c r="AG29" s="345">
        <f t="shared" si="6"/>
        <v>11740.4612</v>
      </c>
      <c r="AH29" s="382">
        <f>AG29+AG26</f>
        <v>25365.147574999999</v>
      </c>
      <c r="AI29" s="382">
        <f t="shared" si="4"/>
        <v>135</v>
      </c>
      <c r="AJ29" s="1176"/>
      <c r="AK29" s="364">
        <f t="shared" si="23"/>
        <v>0.22727272727272727</v>
      </c>
      <c r="AL29" s="365">
        <f t="shared" si="20"/>
        <v>-0.16642760503377749</v>
      </c>
      <c r="AS29" s="160"/>
      <c r="BL29" t="s">
        <v>511</v>
      </c>
      <c r="BM29">
        <f t="shared" si="0"/>
        <v>2017.6666666666647</v>
      </c>
      <c r="BN29" s="376">
        <v>65984.7</v>
      </c>
      <c r="BP29" s="121">
        <f t="shared" si="24"/>
        <v>0.3300712156243007</v>
      </c>
      <c r="BW29" s="377" t="s">
        <v>511</v>
      </c>
      <c r="BX29" s="378">
        <v>44869.2</v>
      </c>
      <c r="BZ29" s="121">
        <f t="shared" si="25"/>
        <v>-3.1580492268909105E-2</v>
      </c>
    </row>
    <row r="30" spans="1:78" ht="14.75" x14ac:dyDescent="0.75">
      <c r="A30" s="1161"/>
      <c r="B30" s="341" t="s">
        <v>486</v>
      </c>
      <c r="C30" s="342">
        <f>C29+C26</f>
        <v>22906.5</v>
      </c>
      <c r="D30" s="384">
        <f>D29+D26</f>
        <v>0.270401</v>
      </c>
      <c r="E30" s="385">
        <f>E29+E26</f>
        <v>0.91107000000000005</v>
      </c>
      <c r="F30" s="345">
        <f t="shared" si="5"/>
        <v>23155.504778000002</v>
      </c>
      <c r="G30" s="382">
        <f>F30</f>
        <v>23155.504778000002</v>
      </c>
      <c r="H30" s="382">
        <f>H29+H26</f>
        <v>540</v>
      </c>
      <c r="I30" s="1176"/>
      <c r="J30" s="391">
        <f t="shared" si="21"/>
        <v>0.20535714285714285</v>
      </c>
      <c r="K30" s="365">
        <f t="shared" si="18"/>
        <v>1.201474363489511E-2</v>
      </c>
      <c r="M30" s="342">
        <f>M29+M26</f>
        <v>2184.85</v>
      </c>
      <c r="N30" s="384">
        <f>N29+N26</f>
        <v>4.7669000000000003E-2</v>
      </c>
      <c r="O30" s="385">
        <f>O29+O26</f>
        <v>8.8521000000000002E-2</v>
      </c>
      <c r="P30" s="345">
        <f t="shared" si="7"/>
        <v>2209.6427969999995</v>
      </c>
      <c r="Q30" s="382">
        <f>P30</f>
        <v>2209.6427969999995</v>
      </c>
      <c r="R30" s="382">
        <f>R29+R26</f>
        <v>177</v>
      </c>
      <c r="S30" s="1176"/>
      <c r="T30" s="364">
        <f t="shared" si="22"/>
        <v>9.9378881987577633E-2</v>
      </c>
      <c r="U30" s="365">
        <f t="shared" si="19"/>
        <v>-0.1534072081350977</v>
      </c>
      <c r="AD30" s="342">
        <f t="shared" si="1"/>
        <v>25091.35</v>
      </c>
      <c r="AE30" s="343">
        <f t="shared" si="2"/>
        <v>0.31807000000000002</v>
      </c>
      <c r="AF30" s="344">
        <f t="shared" si="3"/>
        <v>0.99959100000000001</v>
      </c>
      <c r="AG30" s="345">
        <f t="shared" si="6"/>
        <v>25365.147574999999</v>
      </c>
      <c r="AH30" s="382">
        <f>AG30</f>
        <v>25365.147574999999</v>
      </c>
      <c r="AI30" s="382">
        <f t="shared" si="4"/>
        <v>717</v>
      </c>
      <c r="AJ30" s="1176"/>
      <c r="AK30" s="364">
        <f t="shared" si="23"/>
        <v>0.17733990147783252</v>
      </c>
      <c r="AL30" s="365">
        <f t="shared" si="20"/>
        <v>-4.9231682178763553E-3</v>
      </c>
      <c r="AN30" s="25" t="s">
        <v>512</v>
      </c>
      <c r="AS30" s="160"/>
      <c r="BL30" t="s">
        <v>513</v>
      </c>
      <c r="BM30">
        <f t="shared" si="0"/>
        <v>2017.749999999998</v>
      </c>
      <c r="BN30" s="376">
        <v>62654.6</v>
      </c>
      <c r="BP30" s="121">
        <f t="shared" si="24"/>
        <v>0.31556557817644293</v>
      </c>
      <c r="BW30" s="377" t="s">
        <v>513</v>
      </c>
      <c r="BX30" s="378">
        <v>55768.6</v>
      </c>
      <c r="BZ30" s="121">
        <f t="shared" si="25"/>
        <v>0.13449966434078561</v>
      </c>
    </row>
    <row r="31" spans="1:78" ht="14.75" x14ac:dyDescent="0.75">
      <c r="A31" s="1161"/>
      <c r="B31" s="341" t="s">
        <v>10</v>
      </c>
      <c r="C31" s="342">
        <v>2080</v>
      </c>
      <c r="D31" s="343">
        <f>26.4/1000</f>
        <v>2.64E-2</v>
      </c>
      <c r="E31" s="344">
        <f>84.6/1000</f>
        <v>8.4599999999999995E-2</v>
      </c>
      <c r="F31" s="345">
        <f t="shared" si="5"/>
        <v>2103.1581999999999</v>
      </c>
      <c r="G31" s="382">
        <f>F30+F31</f>
        <v>25258.662978</v>
      </c>
      <c r="H31" s="382">
        <v>112</v>
      </c>
      <c r="I31" s="1176"/>
      <c r="J31" s="391">
        <f t="shared" si="21"/>
        <v>0.6</v>
      </c>
      <c r="K31" s="365">
        <f t="shared" si="18"/>
        <v>1.8736265290550832E-2</v>
      </c>
      <c r="M31" s="342">
        <v>5740</v>
      </c>
      <c r="N31" s="343">
        <f>75.3/1000</f>
        <v>7.5299999999999992E-2</v>
      </c>
      <c r="O31" s="344">
        <f>238/1000</f>
        <v>0.23799999999999999</v>
      </c>
      <c r="P31" s="345">
        <f t="shared" si="7"/>
        <v>5805.1783999999998</v>
      </c>
      <c r="Q31" s="382">
        <f>P30+P31</f>
        <v>8014.8211969999993</v>
      </c>
      <c r="R31" s="382">
        <v>356</v>
      </c>
      <c r="S31" s="1176"/>
      <c r="T31" s="364">
        <f t="shared" si="22"/>
        <v>-0.30604288499025339</v>
      </c>
      <c r="U31" s="365">
        <f t="shared" si="19"/>
        <v>-6.5400114788844069E-2</v>
      </c>
      <c r="AD31" s="342">
        <f t="shared" si="1"/>
        <v>7820</v>
      </c>
      <c r="AE31" s="343">
        <f t="shared" si="2"/>
        <v>0.10169999999999998</v>
      </c>
      <c r="AF31" s="344">
        <f t="shared" si="3"/>
        <v>0.3226</v>
      </c>
      <c r="AG31" s="345">
        <f t="shared" si="6"/>
        <v>7908.3365999999996</v>
      </c>
      <c r="AH31" s="382">
        <f>AG30+AG31</f>
        <v>33273.484174999998</v>
      </c>
      <c r="AI31" s="382">
        <f t="shared" si="4"/>
        <v>468</v>
      </c>
      <c r="AJ31" s="1176"/>
      <c r="AK31" s="364">
        <f t="shared" si="23"/>
        <v>-0.19725557461406518</v>
      </c>
      <c r="AL31" s="365">
        <f t="shared" si="20"/>
        <v>-4.4411698155312297E-2</v>
      </c>
      <c r="AN31" s="25" t="s">
        <v>464</v>
      </c>
      <c r="AS31" s="160"/>
      <c r="BL31" t="s">
        <v>514</v>
      </c>
      <c r="BM31">
        <f t="shared" si="0"/>
        <v>2017.8333333333312</v>
      </c>
      <c r="BN31" s="376">
        <v>56669.9</v>
      </c>
      <c r="BP31" s="121">
        <f t="shared" si="24"/>
        <v>7.6564031641577879E-2</v>
      </c>
      <c r="BW31" s="377" t="s">
        <v>514</v>
      </c>
      <c r="BX31" s="378">
        <v>45789.1</v>
      </c>
      <c r="BZ31" s="121">
        <f t="shared" si="25"/>
        <v>0.11639343462911315</v>
      </c>
    </row>
    <row r="32" spans="1:78" ht="14.75" x14ac:dyDescent="0.75">
      <c r="A32" s="1161"/>
      <c r="B32" s="341" t="s">
        <v>498</v>
      </c>
      <c r="C32" s="342">
        <v>0</v>
      </c>
      <c r="D32" s="343">
        <v>0</v>
      </c>
      <c r="E32" s="344">
        <v>0</v>
      </c>
      <c r="F32" s="345">
        <f t="shared" si="5"/>
        <v>0</v>
      </c>
      <c r="G32" s="382">
        <f>SUM(F30:F32)</f>
        <v>25258.662978</v>
      </c>
      <c r="H32" s="382">
        <v>0</v>
      </c>
      <c r="I32" s="1176"/>
      <c r="J32" s="391" t="e">
        <f t="shared" si="21"/>
        <v>#DIV/0!</v>
      </c>
      <c r="K32" s="365" t="e">
        <f t="shared" si="18"/>
        <v>#DIV/0!</v>
      </c>
      <c r="M32" s="342">
        <v>837</v>
      </c>
      <c r="N32" s="343">
        <f>9.9/1000</f>
        <v>9.9000000000000008E-3</v>
      </c>
      <c r="O32" s="344">
        <f>36.2/1000</f>
        <v>3.6200000000000003E-2</v>
      </c>
      <c r="P32" s="345">
        <f t="shared" si="7"/>
        <v>846.87019999999995</v>
      </c>
      <c r="Q32" s="382">
        <f>SUM(P30:P32)</f>
        <v>8861.6913969999987</v>
      </c>
      <c r="R32" s="382">
        <v>5375</v>
      </c>
      <c r="S32" s="1176"/>
      <c r="T32" s="364">
        <f t="shared" si="22"/>
        <v>-4.1376850365614413E-2</v>
      </c>
      <c r="U32" s="365">
        <f t="shared" si="19"/>
        <v>-0.80229762106807867</v>
      </c>
      <c r="AD32" s="342">
        <f t="shared" si="1"/>
        <v>837</v>
      </c>
      <c r="AE32" s="343">
        <f t="shared" si="2"/>
        <v>9.9000000000000008E-3</v>
      </c>
      <c r="AF32" s="344">
        <f t="shared" si="3"/>
        <v>3.6200000000000003E-2</v>
      </c>
      <c r="AG32" s="345">
        <f t="shared" si="6"/>
        <v>846.87019999999995</v>
      </c>
      <c r="AH32" s="382">
        <f>SUM(AG30:AG32)</f>
        <v>34120.354374999995</v>
      </c>
      <c r="AI32" s="382">
        <f t="shared" si="4"/>
        <v>5375</v>
      </c>
      <c r="AJ32" s="1176"/>
      <c r="AK32" s="364">
        <f t="shared" si="23"/>
        <v>-4.1376850365614413E-2</v>
      </c>
      <c r="AL32" s="365">
        <f t="shared" si="20"/>
        <v>-0.80229762106807867</v>
      </c>
      <c r="AO32" t="s">
        <v>477</v>
      </c>
      <c r="AP32" t="s">
        <v>483</v>
      </c>
      <c r="AQ32" s="25" t="s">
        <v>515</v>
      </c>
      <c r="AR32" t="s">
        <v>122</v>
      </c>
      <c r="AS32" s="160"/>
      <c r="BL32" t="s">
        <v>516</v>
      </c>
      <c r="BM32">
        <f t="shared" si="0"/>
        <v>2017.9166666666645</v>
      </c>
      <c r="BN32" s="376">
        <v>66853.399999999994</v>
      </c>
      <c r="BP32" s="121">
        <f t="shared" si="24"/>
        <v>0.35189559084033672</v>
      </c>
      <c r="BW32" s="377" t="s">
        <v>516</v>
      </c>
      <c r="BX32" s="378">
        <v>43211.7</v>
      </c>
      <c r="BZ32" s="121">
        <f t="shared" si="25"/>
        <v>4.0852015020823453E-2</v>
      </c>
    </row>
    <row r="33" spans="1:78" ht="15.5" thickBot="1" x14ac:dyDescent="0.9">
      <c r="A33" s="1175"/>
      <c r="B33" s="341" t="s">
        <v>500</v>
      </c>
      <c r="C33" s="350">
        <v>646</v>
      </c>
      <c r="D33" s="351">
        <f>6.56/1000</f>
        <v>6.5599999999999999E-3</v>
      </c>
      <c r="E33" s="352">
        <f>22.8/1000</f>
        <v>2.2800000000000001E-2</v>
      </c>
      <c r="F33" s="386">
        <f t="shared" si="5"/>
        <v>652.22568000000001</v>
      </c>
      <c r="G33" s="382">
        <f>SUM(F30:F33)</f>
        <v>25910.888658</v>
      </c>
      <c r="H33" s="382">
        <v>31</v>
      </c>
      <c r="I33" s="1176"/>
      <c r="J33" s="392">
        <f t="shared" si="21"/>
        <v>3.3333333333333333E-2</v>
      </c>
      <c r="K33" s="369">
        <f t="shared" si="18"/>
        <v>-0.17322835783529236</v>
      </c>
      <c r="M33" s="350">
        <v>1170</v>
      </c>
      <c r="N33" s="351">
        <f>7.2/1000</f>
        <v>7.1999999999999998E-3</v>
      </c>
      <c r="O33" s="352">
        <f>36.2/1000</f>
        <v>3.6200000000000003E-2</v>
      </c>
      <c r="P33" s="386">
        <f t="shared" si="7"/>
        <v>1179.7946000000002</v>
      </c>
      <c r="Q33" s="382">
        <f>SUM(P30:P33)</f>
        <v>10041.485997</v>
      </c>
      <c r="R33" s="382">
        <v>30</v>
      </c>
      <c r="S33" s="1176"/>
      <c r="T33" s="368">
        <f t="shared" si="22"/>
        <v>-0.73684210526315785</v>
      </c>
      <c r="U33" s="369">
        <f t="shared" si="19"/>
        <v>1.1442355390383909E-3</v>
      </c>
      <c r="AD33" s="350">
        <f t="shared" si="1"/>
        <v>1816</v>
      </c>
      <c r="AE33" s="351">
        <f t="shared" si="2"/>
        <v>1.376E-2</v>
      </c>
      <c r="AF33" s="352">
        <f t="shared" si="3"/>
        <v>5.9000000000000004E-2</v>
      </c>
      <c r="AG33" s="386">
        <f t="shared" si="6"/>
        <v>1832.02028</v>
      </c>
      <c r="AH33" s="382">
        <f>SUM(AG30:AG33)</f>
        <v>35952.374654999992</v>
      </c>
      <c r="AI33" s="382">
        <f t="shared" si="4"/>
        <v>61</v>
      </c>
      <c r="AJ33" s="1176"/>
      <c r="AK33" s="368">
        <f t="shared" si="23"/>
        <v>-0.57638888888888884</v>
      </c>
      <c r="AL33" s="369">
        <f t="shared" si="20"/>
        <v>-6.8777729606422505E-2</v>
      </c>
      <c r="AN33">
        <v>2017</v>
      </c>
      <c r="AO33" s="160">
        <f>AL26</f>
        <v>0.19450568855047948</v>
      </c>
      <c r="AP33" s="160">
        <f>AL29</f>
        <v>-0.16642760503377749</v>
      </c>
      <c r="AQ33" s="160">
        <f>AL30</f>
        <v>-4.9231682178763553E-3</v>
      </c>
      <c r="AR33" s="160">
        <f>AL34</f>
        <v>-0.10158177291492375</v>
      </c>
      <c r="AS33" s="160"/>
      <c r="BL33" t="s">
        <v>517</v>
      </c>
      <c r="BM33">
        <f t="shared" si="0"/>
        <v>2017.9999999999977</v>
      </c>
      <c r="BN33" s="376">
        <v>51372.5</v>
      </c>
      <c r="BP33" s="121">
        <f t="shared" si="24"/>
        <v>0.10605274432844536</v>
      </c>
      <c r="BW33" s="377" t="s">
        <v>517</v>
      </c>
      <c r="BX33" s="378">
        <v>48365.2</v>
      </c>
      <c r="BZ33" s="121">
        <f t="shared" si="25"/>
        <v>0.28311437485408658</v>
      </c>
    </row>
    <row r="34" spans="1:78" ht="15.5" thickBot="1" x14ac:dyDescent="0.9">
      <c r="A34" s="354" t="s">
        <v>3</v>
      </c>
      <c r="B34" s="355">
        <f>A22</f>
        <v>2017</v>
      </c>
      <c r="C34" s="356">
        <f>SUM(C30:C33)</f>
        <v>25632.5</v>
      </c>
      <c r="D34" s="387">
        <f>SUM(D30:D33)</f>
        <v>0.30336099999999999</v>
      </c>
      <c r="E34" s="387">
        <f>SUM(E30:E33)</f>
        <v>1.01847</v>
      </c>
      <c r="F34" s="357">
        <f t="shared" si="5"/>
        <v>25910.888658</v>
      </c>
      <c r="G34" s="357">
        <f>G33</f>
        <v>25910.888658</v>
      </c>
      <c r="H34" s="357">
        <f>SUM(H30:H33)</f>
        <v>683</v>
      </c>
      <c r="I34" s="1177"/>
      <c r="J34" s="372">
        <f t="shared" si="21"/>
        <v>0.24635036496350365</v>
      </c>
      <c r="K34" s="373">
        <f t="shared" si="18"/>
        <v>6.8752855649656195E-3</v>
      </c>
      <c r="M34" s="356">
        <f>SUM(M30:M33)</f>
        <v>9931.85</v>
      </c>
      <c r="N34" s="387">
        <f>SUM(N30:N33)</f>
        <v>0.140069</v>
      </c>
      <c r="O34" s="387">
        <f>SUM(O30:O33)</f>
        <v>0.39892100000000003</v>
      </c>
      <c r="P34" s="357">
        <f t="shared" si="7"/>
        <v>10041.485997</v>
      </c>
      <c r="Q34" s="357">
        <f>Q33</f>
        <v>10041.485997</v>
      </c>
      <c r="R34" s="357">
        <f>SUM(R30:R33)</f>
        <v>5938</v>
      </c>
      <c r="S34" s="1177"/>
      <c r="T34" s="372">
        <f t="shared" si="22"/>
        <v>-7.1462079749804536E-2</v>
      </c>
      <c r="U34" s="373">
        <f t="shared" si="19"/>
        <v>-0.29698476109718996</v>
      </c>
      <c r="AD34" s="356">
        <f t="shared" si="1"/>
        <v>35564.35</v>
      </c>
      <c r="AE34" s="356">
        <f t="shared" si="2"/>
        <v>0.44342999999999999</v>
      </c>
      <c r="AF34" s="356">
        <f t="shared" si="3"/>
        <v>1.4173910000000001</v>
      </c>
      <c r="AG34" s="357">
        <f t="shared" si="6"/>
        <v>35952.374654999992</v>
      </c>
      <c r="AH34" s="357">
        <f>AH33</f>
        <v>35952.374654999992</v>
      </c>
      <c r="AI34" s="357">
        <f t="shared" si="4"/>
        <v>6621</v>
      </c>
      <c r="AJ34" s="1177"/>
      <c r="AK34" s="372">
        <f t="shared" si="23"/>
        <v>-4.6377646550482501E-2</v>
      </c>
      <c r="AL34" s="373">
        <f t="shared" si="20"/>
        <v>-0.10158177291492375</v>
      </c>
      <c r="AN34">
        <v>2018</v>
      </c>
      <c r="AO34" s="160">
        <f>AL39</f>
        <v>6.6143747914344159E-2</v>
      </c>
      <c r="AP34" s="160">
        <f>AL42</f>
        <v>0.23491809444419443</v>
      </c>
      <c r="AQ34" s="160">
        <f>AL43</f>
        <v>0.14426230256221947</v>
      </c>
      <c r="AR34" s="160">
        <f>AL47</f>
        <v>0.15505645364164353</v>
      </c>
      <c r="BL34" t="s">
        <v>518</v>
      </c>
      <c r="BM34">
        <f t="shared" si="0"/>
        <v>2018.083333333331</v>
      </c>
      <c r="BN34" s="376">
        <v>60322.400000000001</v>
      </c>
      <c r="BP34" s="121">
        <f t="shared" si="24"/>
        <v>0.35547121648252133</v>
      </c>
      <c r="BW34" s="377" t="s">
        <v>518</v>
      </c>
      <c r="BX34" s="378">
        <v>46196.800000000003</v>
      </c>
      <c r="BZ34" s="121">
        <f t="shared" si="25"/>
        <v>0.38133454532406813</v>
      </c>
    </row>
    <row r="35" spans="1:78" ht="15" customHeight="1" x14ac:dyDescent="0.75">
      <c r="A35" s="1161">
        <v>2018</v>
      </c>
      <c r="B35" s="333" t="s">
        <v>469</v>
      </c>
      <c r="C35" s="334">
        <v>54.4</v>
      </c>
      <c r="D35" s="335">
        <v>6.9999999999999999E-4</v>
      </c>
      <c r="E35" s="336">
        <v>2.2000000000000001E-3</v>
      </c>
      <c r="F35" s="337">
        <f t="shared" si="5"/>
        <v>55.002599999999994</v>
      </c>
      <c r="G35" s="381">
        <f>F35</f>
        <v>55.002599999999994</v>
      </c>
      <c r="H35" s="381">
        <v>2</v>
      </c>
      <c r="I35" s="1165" t="s">
        <v>359</v>
      </c>
      <c r="J35" s="390">
        <f t="shared" si="21"/>
        <v>0</v>
      </c>
      <c r="K35" s="361">
        <f t="shared" si="18"/>
        <v>0.58079286062618507</v>
      </c>
      <c r="M35" s="334">
        <v>0</v>
      </c>
      <c r="N35" s="335">
        <v>0</v>
      </c>
      <c r="O35" s="336">
        <v>0</v>
      </c>
      <c r="P35" s="337">
        <f t="shared" si="7"/>
        <v>0</v>
      </c>
      <c r="Q35" s="381">
        <f>P35</f>
        <v>0</v>
      </c>
      <c r="R35" s="381">
        <v>0</v>
      </c>
      <c r="S35" s="1165" t="s">
        <v>359</v>
      </c>
      <c r="T35" s="360">
        <f t="shared" si="22"/>
        <v>-1</v>
      </c>
      <c r="U35" s="361">
        <f t="shared" si="19"/>
        <v>-1</v>
      </c>
      <c r="AD35" s="334">
        <f t="shared" si="1"/>
        <v>54.4</v>
      </c>
      <c r="AE35" s="335">
        <f t="shared" si="2"/>
        <v>6.9999999999999999E-4</v>
      </c>
      <c r="AF35" s="336">
        <f t="shared" si="3"/>
        <v>2.2000000000000001E-3</v>
      </c>
      <c r="AG35" s="337">
        <f t="shared" si="6"/>
        <v>55.002599999999994</v>
      </c>
      <c r="AH35" s="381">
        <f>AG35</f>
        <v>55.002599999999994</v>
      </c>
      <c r="AI35" s="381">
        <f t="shared" si="4"/>
        <v>2</v>
      </c>
      <c r="AJ35" s="1165" t="s">
        <v>359</v>
      </c>
      <c r="AK35" s="360">
        <f t="shared" si="23"/>
        <v>-0.33333333333333331</v>
      </c>
      <c r="AL35" s="361">
        <f t="shared" si="20"/>
        <v>0.25444442906238857</v>
      </c>
      <c r="AN35">
        <v>2019</v>
      </c>
      <c r="AO35" s="160">
        <f>AL52</f>
        <v>0.35562797137693192</v>
      </c>
      <c r="AP35" s="160">
        <f>AL55</f>
        <v>0.32678506380264771</v>
      </c>
      <c r="AQ35" s="160">
        <f>AL56</f>
        <v>0.34122011514780265</v>
      </c>
      <c r="AR35" s="160">
        <f>AL60</f>
        <v>0.22989198096049024</v>
      </c>
      <c r="BL35" t="s">
        <v>519</v>
      </c>
      <c r="BM35">
        <f t="shared" si="0"/>
        <v>2018.1666666666642</v>
      </c>
      <c r="BN35" s="376">
        <v>57062.7</v>
      </c>
      <c r="BP35" s="121">
        <f t="shared" si="24"/>
        <v>2.1552557520032548E-2</v>
      </c>
      <c r="BW35" s="377" t="s">
        <v>519</v>
      </c>
      <c r="BX35" s="378">
        <v>45685</v>
      </c>
      <c r="BZ35" s="121">
        <f t="shared" si="25"/>
        <v>0.15291338701903065</v>
      </c>
    </row>
    <row r="36" spans="1:78" ht="14.75" x14ac:dyDescent="0.75">
      <c r="A36" s="1161"/>
      <c r="B36" s="341" t="s">
        <v>471</v>
      </c>
      <c r="C36" s="342">
        <v>11800</v>
      </c>
      <c r="D36" s="343">
        <v>0.14899999999999999</v>
      </c>
      <c r="E36" s="344">
        <v>0.47699999999999998</v>
      </c>
      <c r="F36" s="345">
        <f t="shared" si="5"/>
        <v>11930.577000000001</v>
      </c>
      <c r="G36" s="382">
        <f>F36+F35</f>
        <v>11985.579600000001</v>
      </c>
      <c r="H36" s="382">
        <v>263</v>
      </c>
      <c r="I36" s="1163"/>
      <c r="J36" s="391">
        <f t="shared" si="21"/>
        <v>-5.7347670250896057E-2</v>
      </c>
      <c r="K36" s="365">
        <f t="shared" si="18"/>
        <v>0.10278860768163721</v>
      </c>
      <c r="M36" s="342">
        <v>86.7</v>
      </c>
      <c r="N36" s="343">
        <v>1.0399999999999999E-3</v>
      </c>
      <c r="O36" s="344">
        <v>3.48E-3</v>
      </c>
      <c r="P36" s="345">
        <f t="shared" si="7"/>
        <v>87.651320000000013</v>
      </c>
      <c r="Q36" s="382">
        <f>P36+P35</f>
        <v>87.651320000000013</v>
      </c>
      <c r="R36" s="382">
        <v>6</v>
      </c>
      <c r="S36" s="1163"/>
      <c r="T36" s="364">
        <f t="shared" si="22"/>
        <v>0.2</v>
      </c>
      <c r="U36" s="365">
        <f t="shared" si="19"/>
        <v>2.4870837818415668E-2</v>
      </c>
      <c r="AD36" s="342">
        <f t="shared" si="1"/>
        <v>11886.7</v>
      </c>
      <c r="AE36" s="343">
        <f t="shared" si="2"/>
        <v>0.15004000000000001</v>
      </c>
      <c r="AF36" s="344">
        <f t="shared" si="3"/>
        <v>0.48047999999999996</v>
      </c>
      <c r="AG36" s="345">
        <f t="shared" si="6"/>
        <v>12018.22832</v>
      </c>
      <c r="AH36" s="382">
        <f>AG36+AG35</f>
        <v>12073.23092</v>
      </c>
      <c r="AI36" s="382">
        <f t="shared" si="4"/>
        <v>269</v>
      </c>
      <c r="AJ36" s="1163"/>
      <c r="AK36" s="364">
        <f t="shared" si="23"/>
        <v>-5.2816901408450703E-2</v>
      </c>
      <c r="AL36" s="365">
        <f t="shared" si="20"/>
        <v>0.10217747301618076</v>
      </c>
      <c r="AN36">
        <v>2020</v>
      </c>
      <c r="AO36" s="160">
        <f>AL65</f>
        <v>0.1084006533125252</v>
      </c>
      <c r="AP36" s="160">
        <f>AL68</f>
        <v>-0.95455951071173983</v>
      </c>
      <c r="AQ36" s="160">
        <f>AL69</f>
        <v>-0.41686358364648496</v>
      </c>
      <c r="AR36" s="160">
        <f>AL73</f>
        <v>-0.26435214805447493</v>
      </c>
      <c r="BL36" t="s">
        <v>520</v>
      </c>
      <c r="BM36">
        <f t="shared" ref="BM36:BM64" si="26">BM35+$BM$2</f>
        <v>2018.2499999999975</v>
      </c>
      <c r="BN36" s="376">
        <v>62465.7</v>
      </c>
      <c r="BP36" s="121">
        <f t="shared" si="24"/>
        <v>0.20351078648784549</v>
      </c>
      <c r="BW36" s="377" t="s">
        <v>520</v>
      </c>
      <c r="BX36" s="378">
        <v>44121.1</v>
      </c>
      <c r="BZ36" s="121">
        <f t="shared" si="25"/>
        <v>6.7699977010659759E-2</v>
      </c>
    </row>
    <row r="37" spans="1:78" ht="14.75" x14ac:dyDescent="0.75">
      <c r="A37" s="1161"/>
      <c r="B37" s="341" t="s">
        <v>473</v>
      </c>
      <c r="C37" s="342">
        <v>1330</v>
      </c>
      <c r="D37" s="343">
        <v>1.7600000000000001E-2</v>
      </c>
      <c r="E37" s="344">
        <v>5.6599999999999998E-2</v>
      </c>
      <c r="F37" s="345">
        <f t="shared" si="5"/>
        <v>1345.4918</v>
      </c>
      <c r="G37" s="382">
        <f>F37+F36+F35</f>
        <v>13331.071400000001</v>
      </c>
      <c r="H37" s="382">
        <v>161</v>
      </c>
      <c r="I37" s="1163"/>
      <c r="J37" s="391">
        <f t="shared" si="21"/>
        <v>-7.4712643678160925E-2</v>
      </c>
      <c r="K37" s="365">
        <f t="shared" si="18"/>
        <v>-0.17386910249157195</v>
      </c>
      <c r="M37" s="342">
        <v>21.4</v>
      </c>
      <c r="N37" s="343">
        <v>2.8699999999999998E-4</v>
      </c>
      <c r="O37" s="344">
        <v>9.1600000000000004E-4</v>
      </c>
      <c r="P37" s="345">
        <f t="shared" si="7"/>
        <v>21.650776</v>
      </c>
      <c r="Q37" s="382">
        <f>P37+P36+P35</f>
        <v>109.30209600000001</v>
      </c>
      <c r="R37" s="382">
        <v>5</v>
      </c>
      <c r="S37" s="1163"/>
      <c r="T37" s="364">
        <f t="shared" si="22"/>
        <v>-0.375</v>
      </c>
      <c r="U37" s="365">
        <f t="shared" si="19"/>
        <v>-0.68429744175190355</v>
      </c>
      <c r="AD37" s="342">
        <f t="shared" si="1"/>
        <v>1351.4</v>
      </c>
      <c r="AE37" s="343">
        <f t="shared" si="2"/>
        <v>1.7887E-2</v>
      </c>
      <c r="AF37" s="344">
        <f t="shared" si="3"/>
        <v>5.7515999999999998E-2</v>
      </c>
      <c r="AG37" s="345">
        <f t="shared" si="6"/>
        <v>1367.142576</v>
      </c>
      <c r="AH37" s="382">
        <f>AG37+AG36+AG35</f>
        <v>13440.373496</v>
      </c>
      <c r="AI37" s="382">
        <f t="shared" si="4"/>
        <v>166</v>
      </c>
      <c r="AJ37" s="1163"/>
      <c r="AK37" s="364">
        <f t="shared" si="23"/>
        <v>-8.7912087912087919E-2</v>
      </c>
      <c r="AL37" s="365">
        <f t="shared" si="20"/>
        <v>-0.19449369052257495</v>
      </c>
      <c r="AN37">
        <v>2021</v>
      </c>
      <c r="AO37" s="160">
        <f>AL78</f>
        <v>-0.20700614341005955</v>
      </c>
      <c r="AP37" s="160">
        <f>AL81</f>
        <v>6.8136475758618289</v>
      </c>
      <c r="AQ37" s="160">
        <f>AL82</f>
        <v>6.3334430726805835E-2</v>
      </c>
      <c r="AR37" s="160">
        <f>AL86</f>
        <v>-5.3555306185965657E-2</v>
      </c>
      <c r="BL37" t="s">
        <v>521</v>
      </c>
      <c r="BM37">
        <f t="shared" si="26"/>
        <v>2018.3333333333308</v>
      </c>
      <c r="BN37" s="376">
        <v>69336.2</v>
      </c>
      <c r="BP37" s="121">
        <f t="shared" si="24"/>
        <v>-5.2483847339594047E-2</v>
      </c>
      <c r="BW37" s="377" t="s">
        <v>521</v>
      </c>
      <c r="BX37" s="378">
        <v>52417.3</v>
      </c>
      <c r="BZ37" s="121">
        <f t="shared" si="25"/>
        <v>6.7629524470995142E-2</v>
      </c>
    </row>
    <row r="38" spans="1:78" ht="14.75" x14ac:dyDescent="0.75">
      <c r="A38" s="1161"/>
      <c r="B38" s="341" t="s">
        <v>475</v>
      </c>
      <c r="C38" s="342">
        <v>125</v>
      </c>
      <c r="D38" s="343">
        <v>1.5499999999999999E-3</v>
      </c>
      <c r="E38" s="344">
        <v>5.0200000000000002E-3</v>
      </c>
      <c r="F38" s="345">
        <f t="shared" si="5"/>
        <v>126.3737</v>
      </c>
      <c r="G38" s="382">
        <f>SUM(F35:F38)</f>
        <v>13457.445100000001</v>
      </c>
      <c r="H38" s="382">
        <v>9</v>
      </c>
      <c r="I38" s="1163"/>
      <c r="J38" s="391">
        <f t="shared" si="21"/>
        <v>0.8</v>
      </c>
      <c r="K38" s="365">
        <f t="shared" si="18"/>
        <v>1.0134465036538118</v>
      </c>
      <c r="M38" s="342">
        <v>949</v>
      </c>
      <c r="N38" s="343">
        <v>1.15E-2</v>
      </c>
      <c r="O38" s="344">
        <v>3.6999999999999998E-2</v>
      </c>
      <c r="P38" s="345">
        <f t="shared" si="7"/>
        <v>959.12699999999995</v>
      </c>
      <c r="Q38" s="382">
        <f>SUM(P35:P38)</f>
        <v>1068.4290959999998</v>
      </c>
      <c r="R38" s="382">
        <v>112</v>
      </c>
      <c r="S38" s="1163"/>
      <c r="T38" s="364">
        <f t="shared" si="22"/>
        <v>3.7037037037037035E-2</v>
      </c>
      <c r="U38" s="365">
        <f t="shared" si="19"/>
        <v>4.6223198034626115E-2</v>
      </c>
      <c r="AD38" s="342">
        <f t="shared" si="1"/>
        <v>1074</v>
      </c>
      <c r="AE38" s="343">
        <f t="shared" si="2"/>
        <v>1.3049999999999999E-2</v>
      </c>
      <c r="AF38" s="344">
        <f t="shared" si="3"/>
        <v>4.2020000000000002E-2</v>
      </c>
      <c r="AG38" s="345">
        <f t="shared" si="6"/>
        <v>1085.5006999999998</v>
      </c>
      <c r="AH38" s="382">
        <f>SUM(AG35:AG38)</f>
        <v>14525.874196000001</v>
      </c>
      <c r="AI38" s="382">
        <f t="shared" si="4"/>
        <v>121</v>
      </c>
      <c r="AJ38" s="1163"/>
      <c r="AK38" s="364">
        <f t="shared" si="23"/>
        <v>7.0796460176991149E-2</v>
      </c>
      <c r="AL38" s="365">
        <f t="shared" si="20"/>
        <v>0.10820033765510208</v>
      </c>
      <c r="AN38">
        <v>2022</v>
      </c>
      <c r="AO38" s="160">
        <f>AL91</f>
        <v>1.1260623638643264E-2</v>
      </c>
      <c r="AP38" s="160">
        <f>AL94</f>
        <v>2.2562225475841875</v>
      </c>
      <c r="AQ38" s="160">
        <f>AL95</f>
        <v>0.64648418889639214</v>
      </c>
      <c r="AR38" s="160">
        <f>AL99</f>
        <v>0.47870787764938799</v>
      </c>
      <c r="BL38" t="s">
        <v>522</v>
      </c>
      <c r="BM38">
        <f t="shared" si="26"/>
        <v>2018.416666666664</v>
      </c>
      <c r="BN38" s="376">
        <v>70628.399999999994</v>
      </c>
      <c r="BP38" s="121">
        <f t="shared" si="24"/>
        <v>0.17777796306332588</v>
      </c>
      <c r="BW38" s="377" t="s">
        <v>522</v>
      </c>
      <c r="BX38" s="378">
        <v>50449.3</v>
      </c>
      <c r="BZ38" s="121">
        <f t="shared" si="25"/>
        <v>0.12169379224475282</v>
      </c>
    </row>
    <row r="39" spans="1:78" ht="14.75" x14ac:dyDescent="0.75">
      <c r="A39" s="1161"/>
      <c r="B39" s="375" t="s">
        <v>477</v>
      </c>
      <c r="C39" s="342">
        <f>SUM(C35:C38)</f>
        <v>13309.4</v>
      </c>
      <c r="D39" s="343">
        <f>SUM(D35:D38)</f>
        <v>0.16885</v>
      </c>
      <c r="E39" s="344">
        <f>SUM(E35:E38)</f>
        <v>0.54081999999999997</v>
      </c>
      <c r="F39" s="345">
        <f t="shared" si="5"/>
        <v>13457.445100000001</v>
      </c>
      <c r="G39" s="382">
        <f>SUM(F39)</f>
        <v>13457.445100000001</v>
      </c>
      <c r="H39" s="382">
        <f>SUM(H35:H38)</f>
        <v>435</v>
      </c>
      <c r="I39" s="1163"/>
      <c r="J39" s="391">
        <f t="shared" si="21"/>
        <v>-5.434782608695652E-2</v>
      </c>
      <c r="K39" s="365">
        <f t="shared" si="18"/>
        <v>7.2752683658364709E-2</v>
      </c>
      <c r="M39" s="342">
        <f>SUM(M35:M38)</f>
        <v>1057.0999999999999</v>
      </c>
      <c r="N39" s="343">
        <f>SUM(N35:N38)</f>
        <v>1.2827E-2</v>
      </c>
      <c r="O39" s="344">
        <f>SUM(O35:O38)</f>
        <v>4.1395999999999995E-2</v>
      </c>
      <c r="P39" s="345">
        <f t="shared" si="7"/>
        <v>1068.4290959999998</v>
      </c>
      <c r="Q39" s="382">
        <f>SUM(P39)</f>
        <v>1068.4290959999998</v>
      </c>
      <c r="R39" s="382">
        <f>SUM(R35:R38)</f>
        <v>123</v>
      </c>
      <c r="S39" s="1163"/>
      <c r="T39" s="364">
        <f t="shared" si="22"/>
        <v>8.1967213114754103E-3</v>
      </c>
      <c r="U39" s="365">
        <f t="shared" si="19"/>
        <v>-1.0629151079117792E-2</v>
      </c>
      <c r="AD39" s="342">
        <f t="shared" si="1"/>
        <v>14366.5</v>
      </c>
      <c r="AE39" s="343">
        <f t="shared" si="2"/>
        <v>0.18167700000000001</v>
      </c>
      <c r="AF39" s="344">
        <f t="shared" si="3"/>
        <v>0.58221599999999996</v>
      </c>
      <c r="AG39" s="345">
        <f t="shared" si="6"/>
        <v>14525.874195999999</v>
      </c>
      <c r="AH39" s="382">
        <f>SUM(AG39)</f>
        <v>14525.874195999999</v>
      </c>
      <c r="AI39" s="382">
        <f t="shared" si="4"/>
        <v>558</v>
      </c>
      <c r="AJ39" s="1163"/>
      <c r="AK39" s="364">
        <f t="shared" si="23"/>
        <v>-4.1237113402061855E-2</v>
      </c>
      <c r="AL39" s="365">
        <f t="shared" si="20"/>
        <v>6.6143747914344159E-2</v>
      </c>
      <c r="BL39" t="s">
        <v>523</v>
      </c>
      <c r="BM39">
        <f t="shared" si="26"/>
        <v>2018.4999999999973</v>
      </c>
      <c r="BN39" s="376">
        <v>68925.2</v>
      </c>
      <c r="BP39" s="121">
        <f t="shared" si="24"/>
        <v>0.14879928530474551</v>
      </c>
      <c r="BW39" s="377" t="s">
        <v>523</v>
      </c>
      <c r="BX39" s="378">
        <v>50469.8</v>
      </c>
      <c r="BZ39" s="121">
        <f t="shared" si="25"/>
        <v>0.3057115729398161</v>
      </c>
    </row>
    <row r="40" spans="1:78" ht="14.75" x14ac:dyDescent="0.75">
      <c r="A40" s="1161"/>
      <c r="B40" s="341" t="s">
        <v>479</v>
      </c>
      <c r="C40" s="342">
        <v>11.9</v>
      </c>
      <c r="D40" s="343">
        <v>1.46E-4</v>
      </c>
      <c r="E40" s="344">
        <v>4.8099999999999998E-4</v>
      </c>
      <c r="F40" s="345">
        <f t="shared" si="5"/>
        <v>12.031553000000001</v>
      </c>
      <c r="G40" s="382">
        <f>F39+F40</f>
        <v>13469.476653000002</v>
      </c>
      <c r="H40" s="382">
        <v>1</v>
      </c>
      <c r="I40" s="1163"/>
      <c r="J40" s="391" t="e">
        <f t="shared" si="21"/>
        <v>#DIV/0!</v>
      </c>
      <c r="K40" s="365" t="e">
        <f t="shared" si="18"/>
        <v>#DIV/0!</v>
      </c>
      <c r="M40" s="342">
        <v>63.2</v>
      </c>
      <c r="N40" s="343">
        <v>8.1499999999999997E-4</v>
      </c>
      <c r="O40" s="344">
        <v>2.5999999999999999E-3</v>
      </c>
      <c r="P40" s="345">
        <f t="shared" si="7"/>
        <v>63.911820000000006</v>
      </c>
      <c r="Q40" s="382">
        <f>P39+P40</f>
        <v>1132.3409159999999</v>
      </c>
      <c r="R40" s="382">
        <v>4</v>
      </c>
      <c r="S40" s="1163"/>
      <c r="T40" s="364">
        <f t="shared" si="22"/>
        <v>-0.33333333333333331</v>
      </c>
      <c r="U40" s="365">
        <f t="shared" si="19"/>
        <v>-0.66396987960358933</v>
      </c>
      <c r="AD40" s="342">
        <f t="shared" si="1"/>
        <v>75.100000000000009</v>
      </c>
      <c r="AE40" s="343">
        <f t="shared" si="2"/>
        <v>9.6099999999999994E-4</v>
      </c>
      <c r="AF40" s="344">
        <f t="shared" si="3"/>
        <v>3.081E-3</v>
      </c>
      <c r="AG40" s="345">
        <f t="shared" si="6"/>
        <v>75.943373000000008</v>
      </c>
      <c r="AH40" s="382">
        <f>AG39+AG40</f>
        <v>14601.817568999999</v>
      </c>
      <c r="AI40" s="382">
        <f t="shared" si="4"/>
        <v>5</v>
      </c>
      <c r="AJ40" s="1163"/>
      <c r="AK40" s="364">
        <f t="shared" si="23"/>
        <v>-0.16666666666666666</v>
      </c>
      <c r="AL40" s="365">
        <f t="shared" si="20"/>
        <v>-0.60071140561324143</v>
      </c>
      <c r="AN40" s="25" t="s">
        <v>463</v>
      </c>
      <c r="AR40" s="25"/>
      <c r="BL40" t="s">
        <v>524</v>
      </c>
      <c r="BM40">
        <f t="shared" si="26"/>
        <v>2018.5833333333305</v>
      </c>
      <c r="BN40" s="376">
        <v>66549.600000000006</v>
      </c>
      <c r="BP40" s="121">
        <f t="shared" si="24"/>
        <v>0.27840358992485137</v>
      </c>
      <c r="BW40" s="377" t="s">
        <v>524</v>
      </c>
      <c r="BX40" s="378">
        <v>47773</v>
      </c>
      <c r="BZ40" s="121">
        <f t="shared" si="25"/>
        <v>5.7828145274504299E-2</v>
      </c>
    </row>
    <row r="41" spans="1:78" ht="14.75" x14ac:dyDescent="0.75">
      <c r="A41" s="1161"/>
      <c r="B41" s="341" t="s">
        <v>480</v>
      </c>
      <c r="C41" s="342">
        <v>12300</v>
      </c>
      <c r="D41" s="343">
        <v>0.13200000000000001</v>
      </c>
      <c r="E41" s="344">
        <v>0.47599999999999998</v>
      </c>
      <c r="F41" s="345">
        <f t="shared" si="5"/>
        <v>12429.835999999999</v>
      </c>
      <c r="G41" s="382">
        <f>F41+F40+F39</f>
        <v>25899.312653000001</v>
      </c>
      <c r="H41" s="382">
        <v>83</v>
      </c>
      <c r="I41" s="1163"/>
      <c r="J41" s="391">
        <f t="shared" si="21"/>
        <v>3.7499999999999999E-2</v>
      </c>
      <c r="K41" s="365">
        <f t="shared" si="18"/>
        <v>0.17144067239131411</v>
      </c>
      <c r="M41" s="342">
        <v>1970</v>
      </c>
      <c r="N41" s="343">
        <v>2.6200000000000001E-2</v>
      </c>
      <c r="O41" s="344">
        <v>8.3000000000000004E-2</v>
      </c>
      <c r="P41" s="345">
        <f t="shared" si="7"/>
        <v>1992.7285999999999</v>
      </c>
      <c r="Q41" s="382">
        <f>P41+P40+P39</f>
        <v>3125.0695159999996</v>
      </c>
      <c r="R41" s="382">
        <v>62</v>
      </c>
      <c r="S41" s="1163"/>
      <c r="T41" s="364">
        <f t="shared" si="22"/>
        <v>0.26530612244897961</v>
      </c>
      <c r="U41" s="365">
        <f t="shared" si="19"/>
        <v>1.1209653462843723</v>
      </c>
      <c r="AD41" s="342">
        <f t="shared" ref="AD41:AD73" si="27">M41+C41</f>
        <v>14270</v>
      </c>
      <c r="AE41" s="343">
        <f t="shared" ref="AE41:AE73" si="28">N41+D41</f>
        <v>0.15820000000000001</v>
      </c>
      <c r="AF41" s="344">
        <f t="shared" ref="AF41:AF73" si="29">O41+E41</f>
        <v>0.55899999999999994</v>
      </c>
      <c r="AG41" s="345">
        <f t="shared" si="6"/>
        <v>14422.5646</v>
      </c>
      <c r="AH41" s="382">
        <f>AG41+AG40+AG39</f>
        <v>29024.382168999997</v>
      </c>
      <c r="AI41" s="382">
        <f t="shared" ref="AI41:AI73" si="30">R41+H41</f>
        <v>145</v>
      </c>
      <c r="AJ41" s="1163"/>
      <c r="AK41" s="364">
        <f t="shared" si="23"/>
        <v>0.12403100775193798</v>
      </c>
      <c r="AL41" s="365">
        <f t="shared" si="20"/>
        <v>0.24867829650134857</v>
      </c>
      <c r="BL41" t="s">
        <v>525</v>
      </c>
      <c r="BM41">
        <f t="shared" si="26"/>
        <v>2018.6666666666638</v>
      </c>
      <c r="BN41" s="376">
        <v>63039.9</v>
      </c>
      <c r="BP41" s="121">
        <f t="shared" si="24"/>
        <v>-4.4628527522289192E-2</v>
      </c>
      <c r="BW41" s="377" t="s">
        <v>525</v>
      </c>
      <c r="BX41" s="378">
        <v>48786.8</v>
      </c>
      <c r="BZ41" s="121">
        <f t="shared" si="25"/>
        <v>8.7311563388694391E-2</v>
      </c>
    </row>
    <row r="42" spans="1:78" ht="14.75" x14ac:dyDescent="0.75">
      <c r="A42" s="1161"/>
      <c r="B42" s="341" t="s">
        <v>483</v>
      </c>
      <c r="C42" s="342">
        <f>C41+C40</f>
        <v>12311.9</v>
      </c>
      <c r="D42" s="343">
        <f>D41+D40</f>
        <v>0.13214600000000001</v>
      </c>
      <c r="E42" s="344">
        <f>E41+E40</f>
        <v>0.47648099999999999</v>
      </c>
      <c r="F42" s="345">
        <f t="shared" si="5"/>
        <v>12441.867553</v>
      </c>
      <c r="G42" s="382">
        <f>F42+F39</f>
        <v>25899.312653000001</v>
      </c>
      <c r="H42" s="382">
        <f>H41+H40</f>
        <v>84</v>
      </c>
      <c r="I42" s="1163"/>
      <c r="J42" s="391">
        <f t="shared" si="21"/>
        <v>0.05</v>
      </c>
      <c r="K42" s="365">
        <f t="shared" si="18"/>
        <v>0.1725745771778481</v>
      </c>
      <c r="M42" s="342">
        <f>M41+M40</f>
        <v>2033.2</v>
      </c>
      <c r="N42" s="343">
        <f>N41+N40</f>
        <v>2.7015000000000001E-2</v>
      </c>
      <c r="O42" s="344">
        <f>O41+O40</f>
        <v>8.5600000000000009E-2</v>
      </c>
      <c r="P42" s="345">
        <f t="shared" si="7"/>
        <v>2056.6404200000002</v>
      </c>
      <c r="Q42" s="382">
        <f>P42+P39</f>
        <v>3125.069516</v>
      </c>
      <c r="R42" s="382">
        <f>R41+R40</f>
        <v>66</v>
      </c>
      <c r="S42" s="1163"/>
      <c r="T42" s="364">
        <f t="shared" si="22"/>
        <v>0.2</v>
      </c>
      <c r="U42" s="365">
        <f t="shared" si="19"/>
        <v>0.8204623702970395</v>
      </c>
      <c r="AD42" s="342">
        <f t="shared" si="27"/>
        <v>14345.1</v>
      </c>
      <c r="AE42" s="343">
        <f t="shared" si="28"/>
        <v>0.15916100000000002</v>
      </c>
      <c r="AF42" s="344">
        <f t="shared" si="29"/>
        <v>0.56208100000000005</v>
      </c>
      <c r="AG42" s="345">
        <f t="shared" si="6"/>
        <v>14498.507973</v>
      </c>
      <c r="AH42" s="382">
        <f>AG42+AG39</f>
        <v>29024.382168999997</v>
      </c>
      <c r="AI42" s="382">
        <f t="shared" si="30"/>
        <v>150</v>
      </c>
      <c r="AJ42" s="1163"/>
      <c r="AK42" s="364">
        <f t="shared" si="23"/>
        <v>0.1111111111111111</v>
      </c>
      <c r="AL42" s="365">
        <f t="shared" si="20"/>
        <v>0.23491809444419443</v>
      </c>
      <c r="AO42" t="s">
        <v>477</v>
      </c>
      <c r="AP42" t="s">
        <v>483</v>
      </c>
      <c r="AQ42" t="s">
        <v>515</v>
      </c>
      <c r="AR42" t="s">
        <v>122</v>
      </c>
      <c r="BL42" t="s">
        <v>526</v>
      </c>
      <c r="BM42">
        <f t="shared" si="26"/>
        <v>2018.749999999997</v>
      </c>
      <c r="BN42" s="376">
        <v>73077.100000000006</v>
      </c>
      <c r="BP42" s="121">
        <f t="shared" si="24"/>
        <v>0.16634852030018557</v>
      </c>
      <c r="BW42" s="377" t="s">
        <v>526</v>
      </c>
      <c r="BX42" s="378">
        <v>60961.4</v>
      </c>
      <c r="BZ42" s="121">
        <f t="shared" si="25"/>
        <v>9.3113329005928128E-2</v>
      </c>
    </row>
    <row r="43" spans="1:78" ht="14.75" x14ac:dyDescent="0.75">
      <c r="A43" s="1161"/>
      <c r="B43" s="341" t="s">
        <v>486</v>
      </c>
      <c r="C43" s="342">
        <f>C42+C39</f>
        <v>25621.3</v>
      </c>
      <c r="D43" s="384">
        <f>D42+D39</f>
        <v>0.30099600000000004</v>
      </c>
      <c r="E43" s="385">
        <f>E42+E39</f>
        <v>1.017301</v>
      </c>
      <c r="F43" s="345">
        <f t="shared" si="5"/>
        <v>25899.312652999997</v>
      </c>
      <c r="G43" s="382">
        <f>F43</f>
        <v>25899.312652999997</v>
      </c>
      <c r="H43" s="382">
        <f>H42+H39</f>
        <v>519</v>
      </c>
      <c r="I43" s="1163"/>
      <c r="J43" s="391">
        <f t="shared" si="21"/>
        <v>-3.888888888888889E-2</v>
      </c>
      <c r="K43" s="365">
        <f t="shared" si="18"/>
        <v>0.11849484177977762</v>
      </c>
      <c r="M43" s="342">
        <f>M42+M39</f>
        <v>3090.3</v>
      </c>
      <c r="N43" s="384">
        <f>N42+N39</f>
        <v>3.9842000000000002E-2</v>
      </c>
      <c r="O43" s="385">
        <f>O42+O39</f>
        <v>0.126996</v>
      </c>
      <c r="P43" s="345">
        <f t="shared" si="7"/>
        <v>3125.0695160000005</v>
      </c>
      <c r="Q43" s="382">
        <f>P43</f>
        <v>3125.0695160000005</v>
      </c>
      <c r="R43" s="382">
        <f>R42+R39</f>
        <v>189</v>
      </c>
      <c r="S43" s="1163"/>
      <c r="T43" s="364">
        <f t="shared" si="22"/>
        <v>6.7796610169491525E-2</v>
      </c>
      <c r="U43" s="365">
        <f t="shared" si="19"/>
        <v>0.41428719621237547</v>
      </c>
      <c r="AD43" s="342">
        <f t="shared" si="27"/>
        <v>28711.599999999999</v>
      </c>
      <c r="AE43" s="343">
        <f t="shared" si="28"/>
        <v>0.34083800000000003</v>
      </c>
      <c r="AF43" s="344">
        <f t="shared" si="29"/>
        <v>1.1442969999999999</v>
      </c>
      <c r="AG43" s="345">
        <f t="shared" si="6"/>
        <v>29024.382168999997</v>
      </c>
      <c r="AH43" s="382">
        <f>AG43</f>
        <v>29024.382168999997</v>
      </c>
      <c r="AI43" s="382">
        <f t="shared" si="30"/>
        <v>708</v>
      </c>
      <c r="AJ43" s="1163"/>
      <c r="AK43" s="364">
        <f t="shared" si="23"/>
        <v>-1.2552301255230125E-2</v>
      </c>
      <c r="AL43" s="365">
        <f t="shared" si="20"/>
        <v>0.14426230256221947</v>
      </c>
      <c r="AN43">
        <v>2017</v>
      </c>
      <c r="AO43" s="160">
        <f>AK26</f>
        <v>0.16633266533066132</v>
      </c>
      <c r="AP43" s="160">
        <f>AK29</f>
        <v>0.22727272727272727</v>
      </c>
      <c r="AQ43" s="160">
        <f>AK30</f>
        <v>0.17733990147783252</v>
      </c>
      <c r="AR43" s="160">
        <f>AK34</f>
        <v>-4.6377646550482501E-2</v>
      </c>
      <c r="BL43" t="s">
        <v>527</v>
      </c>
      <c r="BM43">
        <f t="shared" si="26"/>
        <v>2018.8333333333303</v>
      </c>
      <c r="BN43" s="376">
        <v>72586.2</v>
      </c>
      <c r="BP43" s="121">
        <f>(BN43-BN31)/BN31</f>
        <v>0.28085985681993431</v>
      </c>
      <c r="BW43" s="377" t="s">
        <v>527</v>
      </c>
      <c r="BX43" s="378">
        <v>53795.5</v>
      </c>
      <c r="BZ43" s="121">
        <f>(BX43-BX31)/BX31</f>
        <v>0.17485384076122923</v>
      </c>
    </row>
    <row r="44" spans="1:78" ht="14.75" x14ac:dyDescent="0.75">
      <c r="A44" s="1161"/>
      <c r="B44" s="341" t="s">
        <v>10</v>
      </c>
      <c r="C44" s="342">
        <v>1970</v>
      </c>
      <c r="D44" s="343">
        <v>2.52E-2</v>
      </c>
      <c r="E44" s="344">
        <v>8.0399999999999999E-2</v>
      </c>
      <c r="F44" s="345">
        <f t="shared" si="5"/>
        <v>1992.0116</v>
      </c>
      <c r="G44" s="382">
        <f>F43+F44</f>
        <v>27891.324252999999</v>
      </c>
      <c r="H44" s="382">
        <v>78</v>
      </c>
      <c r="I44" s="1163"/>
      <c r="J44" s="391">
        <f t="shared" si="21"/>
        <v>-0.30357142857142855</v>
      </c>
      <c r="K44" s="365">
        <f t="shared" si="18"/>
        <v>-5.2847474811927996E-2</v>
      </c>
      <c r="M44" s="342">
        <v>7480</v>
      </c>
      <c r="N44" s="343">
        <v>9.7500000000000003E-2</v>
      </c>
      <c r="O44" s="344">
        <v>0.308</v>
      </c>
      <c r="P44" s="345">
        <f t="shared" si="7"/>
        <v>7564.3499999999995</v>
      </c>
      <c r="Q44" s="382">
        <f>P43+P44</f>
        <v>10689.419516</v>
      </c>
      <c r="R44" s="382">
        <v>368</v>
      </c>
      <c r="S44" s="1163"/>
      <c r="T44" s="364">
        <f t="shared" si="22"/>
        <v>3.3707865168539325E-2</v>
      </c>
      <c r="U44" s="365">
        <f t="shared" si="19"/>
        <v>0.30303489036615994</v>
      </c>
      <c r="AD44" s="342">
        <f t="shared" si="27"/>
        <v>9450</v>
      </c>
      <c r="AE44" s="343">
        <f t="shared" si="28"/>
        <v>0.1227</v>
      </c>
      <c r="AF44" s="344">
        <f t="shared" si="29"/>
        <v>0.38839999999999997</v>
      </c>
      <c r="AG44" s="345">
        <f t="shared" si="6"/>
        <v>9556.3616000000002</v>
      </c>
      <c r="AH44" s="382">
        <f>AG43+AG44</f>
        <v>38580.743768999993</v>
      </c>
      <c r="AI44" s="382">
        <f t="shared" si="30"/>
        <v>446</v>
      </c>
      <c r="AJ44" s="1163"/>
      <c r="AK44" s="364">
        <f t="shared" si="23"/>
        <v>-4.7008547008547008E-2</v>
      </c>
      <c r="AL44" s="365">
        <f t="shared" si="20"/>
        <v>0.20839085175003813</v>
      </c>
      <c r="AN44">
        <v>2018</v>
      </c>
      <c r="AO44" s="160">
        <f>AK39</f>
        <v>-4.1237113402061855E-2</v>
      </c>
      <c r="AP44" s="160">
        <f>AK42</f>
        <v>0.1111111111111111</v>
      </c>
      <c r="AQ44" s="160">
        <f>AK43</f>
        <v>-1.2552301255230125E-2</v>
      </c>
      <c r="AR44" s="160">
        <f>AK47</f>
        <v>-0.12173387705784625</v>
      </c>
      <c r="BL44" t="s">
        <v>528</v>
      </c>
      <c r="BM44">
        <f t="shared" si="26"/>
        <v>2018.9166666666636</v>
      </c>
      <c r="BN44" s="376">
        <v>64250.3</v>
      </c>
      <c r="BP44" s="121">
        <f t="shared" ref="BP44:BP63" si="31">(BN44-BN32)/BN32</f>
        <v>-3.8937436241088585E-2</v>
      </c>
      <c r="BW44" s="377" t="s">
        <v>528</v>
      </c>
      <c r="BX44" s="378">
        <v>53081.2</v>
      </c>
      <c r="BZ44" s="121">
        <f t="shared" ref="BZ44:BZ63" si="32">(BX44-BX32)/BX32</f>
        <v>0.22839879014248457</v>
      </c>
    </row>
    <row r="45" spans="1:78" ht="14.75" x14ac:dyDescent="0.75">
      <c r="A45" s="1161"/>
      <c r="B45" s="341" t="s">
        <v>498</v>
      </c>
      <c r="C45" s="342">
        <v>0</v>
      </c>
      <c r="D45" s="343">
        <v>0</v>
      </c>
      <c r="E45" s="344">
        <v>0</v>
      </c>
      <c r="F45" s="345">
        <f t="shared" si="5"/>
        <v>0</v>
      </c>
      <c r="G45" s="382">
        <f>SUM(F43:F45)</f>
        <v>27891.324252999999</v>
      </c>
      <c r="H45" s="382">
        <v>0</v>
      </c>
      <c r="I45" s="1163"/>
      <c r="J45" s="391" t="e">
        <f t="shared" si="21"/>
        <v>#DIV/0!</v>
      </c>
      <c r="K45" s="365" t="e">
        <f t="shared" si="18"/>
        <v>#DIV/0!</v>
      </c>
      <c r="M45" s="342">
        <v>811</v>
      </c>
      <c r="N45" s="343">
        <v>9.6299999999999997E-3</v>
      </c>
      <c r="O45" s="344">
        <v>3.5000000000000003E-2</v>
      </c>
      <c r="P45" s="345">
        <f t="shared" si="7"/>
        <v>820.54463999999996</v>
      </c>
      <c r="Q45" s="382">
        <f>SUM(P43:P45)</f>
        <v>11509.964156</v>
      </c>
      <c r="R45" s="382">
        <v>4520</v>
      </c>
      <c r="S45" s="1163"/>
      <c r="T45" s="364">
        <f t="shared" si="22"/>
        <v>-0.15906976744186047</v>
      </c>
      <c r="U45" s="365">
        <f t="shared" si="19"/>
        <v>-3.1085708293903832E-2</v>
      </c>
      <c r="AD45" s="342">
        <f t="shared" si="27"/>
        <v>811</v>
      </c>
      <c r="AE45" s="343">
        <f t="shared" si="28"/>
        <v>9.6299999999999997E-3</v>
      </c>
      <c r="AF45" s="344">
        <f t="shared" si="29"/>
        <v>3.5000000000000003E-2</v>
      </c>
      <c r="AG45" s="345">
        <f t="shared" si="6"/>
        <v>820.54463999999996</v>
      </c>
      <c r="AH45" s="382">
        <f>SUM(AG43:AG45)</f>
        <v>39401.288408999993</v>
      </c>
      <c r="AI45" s="382">
        <f t="shared" si="30"/>
        <v>4520</v>
      </c>
      <c r="AJ45" s="1163"/>
      <c r="AK45" s="364">
        <f t="shared" si="23"/>
        <v>-0.15906976744186047</v>
      </c>
      <c r="AL45" s="365">
        <f t="shared" si="20"/>
        <v>-3.1085708293903832E-2</v>
      </c>
      <c r="AN45">
        <v>2019</v>
      </c>
      <c r="AO45" s="160">
        <f>AK52</f>
        <v>0.1111111111111111</v>
      </c>
      <c r="AP45" s="160">
        <f>AK55</f>
        <v>0.16666666666666666</v>
      </c>
      <c r="AQ45" s="160">
        <f>AK56</f>
        <v>0.1228813559322034</v>
      </c>
      <c r="AR45" s="160">
        <f>AK60</f>
        <v>0.16337059329320722</v>
      </c>
      <c r="BL45" t="s">
        <v>529</v>
      </c>
      <c r="BM45">
        <f t="shared" si="26"/>
        <v>2018.9999999999968</v>
      </c>
      <c r="BN45" s="376">
        <v>52595.3</v>
      </c>
      <c r="BP45" s="121">
        <f t="shared" si="31"/>
        <v>2.3802618132269266E-2</v>
      </c>
      <c r="BW45" s="377" t="s">
        <v>529</v>
      </c>
      <c r="BX45" s="378">
        <v>76557</v>
      </c>
      <c r="BZ45" s="121">
        <f t="shared" si="32"/>
        <v>0.58289431243952272</v>
      </c>
    </row>
    <row r="46" spans="1:78" ht="15.5" thickBot="1" x14ac:dyDescent="0.9">
      <c r="A46" s="1227"/>
      <c r="B46" s="341" t="s">
        <v>500</v>
      </c>
      <c r="C46" s="350">
        <v>817</v>
      </c>
      <c r="D46" s="351">
        <v>9.8200000000000006E-3</v>
      </c>
      <c r="E46" s="352">
        <v>3.2500000000000001E-2</v>
      </c>
      <c r="F46" s="386">
        <f t="shared" si="5"/>
        <v>825.88745999999992</v>
      </c>
      <c r="G46" s="382">
        <f>SUM(F43:F46)</f>
        <v>28717.211712999997</v>
      </c>
      <c r="H46" s="382">
        <v>31</v>
      </c>
      <c r="I46" s="1163"/>
      <c r="J46" s="392">
        <f t="shared" si="21"/>
        <v>0</v>
      </c>
      <c r="K46" s="369">
        <f t="shared" si="18"/>
        <v>0.26626026132549691</v>
      </c>
      <c r="M46" s="350">
        <v>1290</v>
      </c>
      <c r="N46" s="351">
        <v>0.01</v>
      </c>
      <c r="O46" s="352">
        <v>3.61E-2</v>
      </c>
      <c r="P46" s="386">
        <f t="shared" si="7"/>
        <v>1299.8464999999999</v>
      </c>
      <c r="Q46" s="382">
        <f>SUM(P43:P46)</f>
        <v>12809.810656</v>
      </c>
      <c r="R46" s="382">
        <v>110</v>
      </c>
      <c r="S46" s="1163"/>
      <c r="T46" s="368">
        <f t="shared" si="22"/>
        <v>2.6666666666666665</v>
      </c>
      <c r="U46" s="369">
        <f t="shared" si="19"/>
        <v>0.10175661085412638</v>
      </c>
      <c r="AD46" s="350">
        <f t="shared" si="27"/>
        <v>2107</v>
      </c>
      <c r="AE46" s="351">
        <f t="shared" si="28"/>
        <v>1.9820000000000001E-2</v>
      </c>
      <c r="AF46" s="352">
        <f t="shared" si="29"/>
        <v>6.8599999999999994E-2</v>
      </c>
      <c r="AG46" s="386">
        <f t="shared" si="6"/>
        <v>2125.73396</v>
      </c>
      <c r="AH46" s="382">
        <f>SUM(AG43:AG46)</f>
        <v>41527.022368999991</v>
      </c>
      <c r="AI46" s="382">
        <f t="shared" si="30"/>
        <v>141</v>
      </c>
      <c r="AJ46" s="1163"/>
      <c r="AK46" s="368">
        <f t="shared" si="23"/>
        <v>1.3114754098360655</v>
      </c>
      <c r="AL46" s="369">
        <f t="shared" si="20"/>
        <v>0.1603222863886638</v>
      </c>
      <c r="AN46">
        <v>2020</v>
      </c>
      <c r="AO46" s="160">
        <f>AK65</f>
        <v>-0.15806451612903225</v>
      </c>
      <c r="AP46" s="160">
        <f>AK68</f>
        <v>-0.95428571428571429</v>
      </c>
      <c r="AQ46" s="160">
        <f>AK69</f>
        <v>-0.33333333333333331</v>
      </c>
      <c r="AR46" s="160">
        <f>AK73</f>
        <v>-0.6078344419807834</v>
      </c>
      <c r="BL46" t="s">
        <v>530</v>
      </c>
      <c r="BM46">
        <f t="shared" si="26"/>
        <v>2019.0833333333301</v>
      </c>
      <c r="BN46" s="376">
        <v>60429.1</v>
      </c>
      <c r="BP46" s="121">
        <f t="shared" si="31"/>
        <v>1.7688288264392181E-3</v>
      </c>
      <c r="BW46" s="377" t="s">
        <v>530</v>
      </c>
      <c r="BX46" s="378">
        <v>44705</v>
      </c>
      <c r="BZ46" s="121">
        <f t="shared" si="32"/>
        <v>-3.2292279984760912E-2</v>
      </c>
    </row>
    <row r="47" spans="1:78" ht="15.5" thickBot="1" x14ac:dyDescent="0.9">
      <c r="A47" s="354" t="s">
        <v>3</v>
      </c>
      <c r="B47" s="355">
        <f>A35</f>
        <v>2018</v>
      </c>
      <c r="C47" s="356">
        <f>SUM(C43:C46)</f>
        <v>28408.3</v>
      </c>
      <c r="D47" s="387">
        <f>SUM(D43:D46)</f>
        <v>0.33601600000000004</v>
      </c>
      <c r="E47" s="387">
        <f>SUM(E43:E46)</f>
        <v>1.130201</v>
      </c>
      <c r="F47" s="357">
        <f t="shared" si="5"/>
        <v>28717.211712999997</v>
      </c>
      <c r="G47" s="357">
        <f>G46</f>
        <v>28717.211712999997</v>
      </c>
      <c r="H47" s="357">
        <f>SUM(H43:H46)</f>
        <v>628</v>
      </c>
      <c r="I47" s="1164"/>
      <c r="J47" s="372">
        <f t="shared" si="21"/>
        <v>-8.0527086383601759E-2</v>
      </c>
      <c r="K47" s="373">
        <f t="shared" si="18"/>
        <v>0.10830670811954354</v>
      </c>
      <c r="M47" s="356">
        <f>SUM(M43:M46)</f>
        <v>12671.3</v>
      </c>
      <c r="N47" s="387">
        <f>SUM(N43:N46)</f>
        <v>0.15697200000000003</v>
      </c>
      <c r="O47" s="387">
        <f>SUM(O43:O46)</f>
        <v>0.50609599999999999</v>
      </c>
      <c r="P47" s="357">
        <f t="shared" si="7"/>
        <v>12809.810656</v>
      </c>
      <c r="Q47" s="357">
        <f>Q46</f>
        <v>12809.810656</v>
      </c>
      <c r="R47" s="357">
        <f>SUM(R43:R46)</f>
        <v>5187</v>
      </c>
      <c r="S47" s="1164"/>
      <c r="T47" s="372">
        <f t="shared" si="22"/>
        <v>-0.12647356012125294</v>
      </c>
      <c r="U47" s="373">
        <f t="shared" si="19"/>
        <v>0.27568874366075563</v>
      </c>
      <c r="AD47" s="356">
        <f t="shared" si="27"/>
        <v>41079.599999999999</v>
      </c>
      <c r="AE47" s="356">
        <f t="shared" si="28"/>
        <v>0.49298800000000009</v>
      </c>
      <c r="AF47" s="356">
        <f t="shared" si="29"/>
        <v>1.6362969999999999</v>
      </c>
      <c r="AG47" s="357">
        <f t="shared" si="6"/>
        <v>41527.022368999998</v>
      </c>
      <c r="AH47" s="357">
        <f>AH46</f>
        <v>41527.022368999991</v>
      </c>
      <c r="AI47" s="357">
        <f t="shared" si="30"/>
        <v>5815</v>
      </c>
      <c r="AJ47" s="1164"/>
      <c r="AK47" s="372">
        <f t="shared" si="23"/>
        <v>-0.12173387705784625</v>
      </c>
      <c r="AL47" s="373">
        <f t="shared" si="20"/>
        <v>0.15505645364164353</v>
      </c>
      <c r="AN47">
        <v>2021</v>
      </c>
      <c r="AO47" s="160">
        <f>AK78</f>
        <v>7.8544061302681989E-2</v>
      </c>
      <c r="AP47" s="160">
        <f>AK81</f>
        <v>6.375</v>
      </c>
      <c r="AQ47" s="160">
        <f>AK82</f>
        <v>0.17358490566037735</v>
      </c>
      <c r="AR47" s="160">
        <f>AK86</f>
        <v>0.31021485111194874</v>
      </c>
      <c r="BL47" t="s">
        <v>531</v>
      </c>
      <c r="BM47">
        <f t="shared" si="26"/>
        <v>2019.1666666666633</v>
      </c>
      <c r="BN47" s="376">
        <v>61729.4</v>
      </c>
      <c r="BP47" s="121">
        <f t="shared" si="31"/>
        <v>8.1781969657937756E-2</v>
      </c>
      <c r="BW47" s="377" t="s">
        <v>531</v>
      </c>
      <c r="BX47" s="378">
        <v>52704.9</v>
      </c>
      <c r="BZ47" s="121">
        <f t="shared" si="32"/>
        <v>0.15365875013680641</v>
      </c>
    </row>
    <row r="48" spans="1:78" ht="15" customHeight="1" x14ac:dyDescent="0.75">
      <c r="A48" s="1161">
        <v>2019</v>
      </c>
      <c r="B48" s="333" t="s">
        <v>469</v>
      </c>
      <c r="C48" s="334">
        <v>1020</v>
      </c>
      <c r="D48" s="335">
        <v>1.2500000000000001E-2</v>
      </c>
      <c r="E48" s="336">
        <v>3.95E-2</v>
      </c>
      <c r="F48" s="337">
        <f t="shared" si="5"/>
        <v>1030.8175000000001</v>
      </c>
      <c r="G48" s="381">
        <f>F48</f>
        <v>1030.8175000000001</v>
      </c>
      <c r="H48" s="381">
        <v>13</v>
      </c>
      <c r="I48" s="1165" t="str">
        <f>"Milli áranna "&amp; $A35 &amp;" og "&amp; $A48</f>
        <v>Milli áranna 2018 og 2019</v>
      </c>
      <c r="J48" s="390">
        <f t="shared" si="21"/>
        <v>5.5</v>
      </c>
      <c r="K48" s="361">
        <f t="shared" si="18"/>
        <v>17.741250413616815</v>
      </c>
      <c r="M48" s="334">
        <v>509</v>
      </c>
      <c r="N48" s="335">
        <v>6.9499999999999996E-3</v>
      </c>
      <c r="O48" s="336">
        <v>2.1700000000000001E-2</v>
      </c>
      <c r="P48" s="337">
        <f>M48+N48*$N$6+O48*$O$6</f>
        <v>514.94510000000002</v>
      </c>
      <c r="Q48" s="381">
        <f>P48</f>
        <v>514.94510000000002</v>
      </c>
      <c r="R48" s="381">
        <v>1</v>
      </c>
      <c r="S48" s="1165" t="s">
        <v>532</v>
      </c>
      <c r="T48" s="360" t="e">
        <f t="shared" si="22"/>
        <v>#DIV/0!</v>
      </c>
      <c r="U48" s="361" t="e">
        <f t="shared" si="19"/>
        <v>#DIV/0!</v>
      </c>
      <c r="AD48" s="334">
        <f t="shared" si="27"/>
        <v>1529</v>
      </c>
      <c r="AE48" s="335">
        <f t="shared" si="28"/>
        <v>1.9450000000000002E-2</v>
      </c>
      <c r="AF48" s="336">
        <f t="shared" si="29"/>
        <v>6.1200000000000004E-2</v>
      </c>
      <c r="AG48" s="337">
        <f t="shared" si="6"/>
        <v>1545.7626</v>
      </c>
      <c r="AH48" s="381">
        <f>AG48</f>
        <v>1545.7626</v>
      </c>
      <c r="AI48" s="381">
        <f t="shared" si="30"/>
        <v>14</v>
      </c>
      <c r="AJ48" s="1165" t="s">
        <v>532</v>
      </c>
      <c r="AK48" s="360">
        <f t="shared" si="23"/>
        <v>6</v>
      </c>
      <c r="AL48" s="361">
        <f t="shared" si="20"/>
        <v>27.103446018915474</v>
      </c>
      <c r="AN48">
        <v>2022</v>
      </c>
      <c r="AO48" s="160">
        <f>AK91</f>
        <v>1.4209591474245116E-2</v>
      </c>
      <c r="AP48" s="160">
        <f>AK94</f>
        <v>2.1186440677966103</v>
      </c>
      <c r="AQ48" s="160">
        <f>AK95</f>
        <v>0.21382636655948553</v>
      </c>
      <c r="AR48" s="160">
        <f>AK99</f>
        <v>0.48762945914844646</v>
      </c>
      <c r="BL48" t="s">
        <v>533</v>
      </c>
      <c r="BM48">
        <f t="shared" si="26"/>
        <v>2019.2499999999966</v>
      </c>
      <c r="BN48" s="376">
        <v>65567.8</v>
      </c>
      <c r="BP48" s="121">
        <f t="shared" si="31"/>
        <v>4.9660853876607576E-2</v>
      </c>
      <c r="BW48" s="377" t="s">
        <v>533</v>
      </c>
      <c r="BX48" s="378">
        <v>50232.2</v>
      </c>
      <c r="BZ48" s="121">
        <f t="shared" si="32"/>
        <v>0.13850742615211314</v>
      </c>
    </row>
    <row r="49" spans="1:85" ht="14.75" x14ac:dyDescent="0.75">
      <c r="A49" s="1161"/>
      <c r="B49" s="341" t="s">
        <v>471</v>
      </c>
      <c r="C49" s="342">
        <v>14200</v>
      </c>
      <c r="D49" s="343">
        <v>0.18</v>
      </c>
      <c r="E49" s="344">
        <v>0.57299999999999995</v>
      </c>
      <c r="F49" s="345">
        <f t="shared" si="5"/>
        <v>14356.885</v>
      </c>
      <c r="G49" s="382">
        <f>F49+F48</f>
        <v>15387.702499999999</v>
      </c>
      <c r="H49" s="382">
        <v>333</v>
      </c>
      <c r="I49" s="1163"/>
      <c r="J49" s="391">
        <f t="shared" si="21"/>
        <v>0.26615969581749049</v>
      </c>
      <c r="K49" s="365">
        <f t="shared" si="18"/>
        <v>0.20336887310647245</v>
      </c>
      <c r="M49" s="342">
        <v>174</v>
      </c>
      <c r="N49" s="343">
        <v>2.0799999999999998E-3</v>
      </c>
      <c r="O49" s="344">
        <v>7.0000000000000001E-3</v>
      </c>
      <c r="P49" s="345">
        <f>M49+N49*$N$6+O49*$O$6</f>
        <v>175.91324</v>
      </c>
      <c r="Q49" s="382">
        <f>P49+P48</f>
        <v>690.85834</v>
      </c>
      <c r="R49" s="382">
        <v>6</v>
      </c>
      <c r="S49" s="1163"/>
      <c r="T49" s="364">
        <f t="shared" si="22"/>
        <v>0</v>
      </c>
      <c r="U49" s="365">
        <f t="shared" si="19"/>
        <v>1.0069662385004581</v>
      </c>
      <c r="AD49" s="342">
        <f t="shared" si="27"/>
        <v>14374</v>
      </c>
      <c r="AE49" s="343">
        <f t="shared" si="28"/>
        <v>0.18207999999999999</v>
      </c>
      <c r="AF49" s="344">
        <f t="shared" si="29"/>
        <v>0.57999999999999996</v>
      </c>
      <c r="AG49" s="345">
        <f t="shared" si="6"/>
        <v>14532.79824</v>
      </c>
      <c r="AH49" s="382">
        <f>AG49+AG48</f>
        <v>16078.56084</v>
      </c>
      <c r="AI49" s="382">
        <f t="shared" si="30"/>
        <v>339</v>
      </c>
      <c r="AJ49" s="1163"/>
      <c r="AK49" s="364">
        <f t="shared" si="23"/>
        <v>0.26022304832713755</v>
      </c>
      <c r="AL49" s="365">
        <f t="shared" si="20"/>
        <v>0.20922966788835309</v>
      </c>
      <c r="BL49" t="s">
        <v>534</v>
      </c>
      <c r="BM49">
        <f t="shared" si="26"/>
        <v>2019.3333333333298</v>
      </c>
      <c r="BN49" s="376">
        <v>66047.199999999997</v>
      </c>
      <c r="BP49" s="121">
        <f t="shared" si="31"/>
        <v>-4.743553872291819E-2</v>
      </c>
      <c r="BW49" s="377" t="s">
        <v>534</v>
      </c>
      <c r="BX49" s="378">
        <v>63230.5</v>
      </c>
      <c r="BZ49" s="121">
        <f t="shared" si="32"/>
        <v>0.20629067120969596</v>
      </c>
    </row>
    <row r="50" spans="1:85" ht="14.75" x14ac:dyDescent="0.75">
      <c r="A50" s="1161"/>
      <c r="B50" s="341" t="s">
        <v>473</v>
      </c>
      <c r="C50" s="342">
        <v>1720</v>
      </c>
      <c r="D50" s="343">
        <v>2.3099999999999999E-2</v>
      </c>
      <c r="E50" s="344">
        <v>7.3499999999999996E-2</v>
      </c>
      <c r="F50" s="345">
        <f t="shared" si="5"/>
        <v>1740.1242999999999</v>
      </c>
      <c r="G50" s="382">
        <f>F50+F49+F48</f>
        <v>17127.826799999999</v>
      </c>
      <c r="H50" s="382">
        <v>122</v>
      </c>
      <c r="I50" s="1163"/>
      <c r="J50" s="391">
        <f t="shared" si="21"/>
        <v>-0.24223602484472051</v>
      </c>
      <c r="K50" s="365">
        <f t="shared" si="18"/>
        <v>0.29329981795504062</v>
      </c>
      <c r="M50" s="342">
        <v>7.61</v>
      </c>
      <c r="N50" s="343">
        <f>0.0000946</f>
        <v>9.4599999999999996E-5</v>
      </c>
      <c r="O50" s="344">
        <v>3.2000000000000003E-4</v>
      </c>
      <c r="P50" s="345">
        <f t="shared" si="7"/>
        <v>7.697448800000001</v>
      </c>
      <c r="Q50" s="382">
        <f>P50+P49+P48</f>
        <v>698.55578880000007</v>
      </c>
      <c r="R50" s="382">
        <v>2</v>
      </c>
      <c r="S50" s="1163"/>
      <c r="T50" s="364">
        <f t="shared" si="22"/>
        <v>-0.6</v>
      </c>
      <c r="U50" s="365">
        <f t="shared" si="19"/>
        <v>-0.6444723828836435</v>
      </c>
      <c r="AD50" s="342">
        <f t="shared" si="27"/>
        <v>1727.61</v>
      </c>
      <c r="AE50" s="343">
        <f t="shared" si="28"/>
        <v>2.3194599999999999E-2</v>
      </c>
      <c r="AF50" s="344">
        <f t="shared" si="29"/>
        <v>7.3819999999999997E-2</v>
      </c>
      <c r="AG50" s="345">
        <f t="shared" si="6"/>
        <v>1747.8217488</v>
      </c>
      <c r="AH50" s="382">
        <f>AG50+AG49+AG48</f>
        <v>17826.382588799999</v>
      </c>
      <c r="AI50" s="382">
        <f t="shared" si="30"/>
        <v>124</v>
      </c>
      <c r="AJ50" s="1163"/>
      <c r="AK50" s="364">
        <f t="shared" si="23"/>
        <v>-0.25301204819277107</v>
      </c>
      <c r="AL50" s="365">
        <f t="shared" si="20"/>
        <v>0.27844877299761606</v>
      </c>
      <c r="BL50" t="s">
        <v>535</v>
      </c>
      <c r="BM50">
        <f t="shared" si="26"/>
        <v>2019.4166666666631</v>
      </c>
      <c r="BN50" s="376">
        <v>74676.800000000003</v>
      </c>
      <c r="BP50" s="121">
        <f t="shared" si="31"/>
        <v>5.7319718413556146E-2</v>
      </c>
      <c r="BW50" s="377" t="s">
        <v>535</v>
      </c>
      <c r="BX50" s="378">
        <v>45688.3</v>
      </c>
      <c r="BZ50" s="121">
        <f t="shared" si="32"/>
        <v>-9.4371973446608762E-2</v>
      </c>
    </row>
    <row r="51" spans="1:85" ht="14.75" x14ac:dyDescent="0.75">
      <c r="A51" s="1161"/>
      <c r="B51" s="341" t="s">
        <v>475</v>
      </c>
      <c r="C51" s="342">
        <v>726</v>
      </c>
      <c r="D51" s="343">
        <v>8.2100000000000003E-3</v>
      </c>
      <c r="E51" s="344">
        <v>2.63E-2</v>
      </c>
      <c r="F51" s="345">
        <f t="shared" si="5"/>
        <v>733.19938000000002</v>
      </c>
      <c r="G51" s="382">
        <f>SUM(F48:F51)</f>
        <v>17861.026180000001</v>
      </c>
      <c r="H51" s="382">
        <v>9</v>
      </c>
      <c r="I51" s="1163"/>
      <c r="J51" s="391">
        <f t="shared" si="21"/>
        <v>0</v>
      </c>
      <c r="K51" s="365">
        <f t="shared" si="18"/>
        <v>4.8018351919742797</v>
      </c>
      <c r="M51" s="342">
        <v>1120</v>
      </c>
      <c r="N51" s="343">
        <v>1.38E-2</v>
      </c>
      <c r="O51" s="344">
        <v>4.4200000000000003E-2</v>
      </c>
      <c r="P51" s="345">
        <f t="shared" si="7"/>
        <v>1132.0994000000001</v>
      </c>
      <c r="Q51" s="382">
        <f>SUM(P48:P51)</f>
        <v>1830.6551887999999</v>
      </c>
      <c r="R51" s="382">
        <v>134</v>
      </c>
      <c r="S51" s="1163"/>
      <c r="T51" s="364">
        <f t="shared" si="22"/>
        <v>0.19642857142857142</v>
      </c>
      <c r="U51" s="365">
        <f t="shared" si="19"/>
        <v>0.18034358327937813</v>
      </c>
      <c r="AD51" s="342">
        <f t="shared" si="27"/>
        <v>1846</v>
      </c>
      <c r="AE51" s="343">
        <f t="shared" si="28"/>
        <v>2.2010000000000002E-2</v>
      </c>
      <c r="AF51" s="344">
        <f t="shared" si="29"/>
        <v>7.0500000000000007E-2</v>
      </c>
      <c r="AG51" s="345">
        <f t="shared" si="6"/>
        <v>1865.2987799999999</v>
      </c>
      <c r="AH51" s="382">
        <f>SUM(AG48:AG51)</f>
        <v>19691.6813688</v>
      </c>
      <c r="AI51" s="382">
        <f t="shared" si="30"/>
        <v>143</v>
      </c>
      <c r="AJ51" s="1163"/>
      <c r="AK51" s="364">
        <f t="shared" si="23"/>
        <v>0.18181818181818182</v>
      </c>
      <c r="AL51" s="365">
        <f t="shared" si="20"/>
        <v>0.71837639533535091</v>
      </c>
      <c r="BL51" t="s">
        <v>536</v>
      </c>
      <c r="BM51">
        <f t="shared" si="26"/>
        <v>2019.4999999999964</v>
      </c>
      <c r="BN51" s="376">
        <v>71560.5</v>
      </c>
      <c r="BP51" s="121">
        <f t="shared" si="31"/>
        <v>3.8234201714322236E-2</v>
      </c>
      <c r="BW51" s="377" t="s">
        <v>536</v>
      </c>
      <c r="BX51" s="378">
        <v>51508.800000000003</v>
      </c>
      <c r="BZ51" s="121">
        <f t="shared" si="32"/>
        <v>2.0586568601421048E-2</v>
      </c>
    </row>
    <row r="52" spans="1:85" ht="14.75" x14ac:dyDescent="0.75">
      <c r="A52" s="1161"/>
      <c r="B52" s="375" t="s">
        <v>477</v>
      </c>
      <c r="C52" s="342">
        <f>SUM(C48:C51)</f>
        <v>17666</v>
      </c>
      <c r="D52" s="343">
        <f>SUM(D48:D51)</f>
        <v>0.22381000000000001</v>
      </c>
      <c r="E52" s="344">
        <f>SUM(E48:E51)</f>
        <v>0.71229999999999993</v>
      </c>
      <c r="F52" s="345">
        <f t="shared" si="5"/>
        <v>17861.026180000001</v>
      </c>
      <c r="G52" s="382">
        <f>SUM(F52)</f>
        <v>17861.026180000001</v>
      </c>
      <c r="H52" s="382">
        <f>SUM(H48:H51)</f>
        <v>477</v>
      </c>
      <c r="I52" s="1163"/>
      <c r="J52" s="391">
        <f t="shared" si="21"/>
        <v>9.6551724137931033E-2</v>
      </c>
      <c r="K52" s="365">
        <f t="shared" si="18"/>
        <v>0.32722266725056154</v>
      </c>
      <c r="M52" s="342">
        <f>SUM(M48:M51)</f>
        <v>1810.6100000000001</v>
      </c>
      <c r="N52" s="343">
        <f>SUM(N48:N51)</f>
        <v>2.29246E-2</v>
      </c>
      <c r="O52" s="344">
        <f>SUM(O48:O51)</f>
        <v>7.3220000000000007E-2</v>
      </c>
      <c r="P52" s="345">
        <f t="shared" si="7"/>
        <v>1830.6551888000001</v>
      </c>
      <c r="Q52" s="382">
        <f>SUM(P52)</f>
        <v>1830.6551888000001</v>
      </c>
      <c r="R52" s="382">
        <f>SUM(R48:R51)</f>
        <v>143</v>
      </c>
      <c r="S52" s="1163"/>
      <c r="T52" s="364">
        <f t="shared" si="22"/>
        <v>0.16260162601626016</v>
      </c>
      <c r="U52" s="365">
        <f t="shared" si="19"/>
        <v>0.71340821366025431</v>
      </c>
      <c r="AD52" s="342">
        <f t="shared" si="27"/>
        <v>19476.61</v>
      </c>
      <c r="AE52" s="343">
        <f t="shared" si="28"/>
        <v>0.2467346</v>
      </c>
      <c r="AF52" s="344">
        <f t="shared" si="29"/>
        <v>0.78552</v>
      </c>
      <c r="AG52" s="345">
        <f t="shared" si="6"/>
        <v>19691.6813688</v>
      </c>
      <c r="AH52" s="382">
        <f>SUM(AG52)</f>
        <v>19691.6813688</v>
      </c>
      <c r="AI52" s="382">
        <f t="shared" si="30"/>
        <v>620</v>
      </c>
      <c r="AJ52" s="1163"/>
      <c r="AK52" s="364">
        <f t="shared" si="23"/>
        <v>0.1111111111111111</v>
      </c>
      <c r="AL52" s="365">
        <f t="shared" si="20"/>
        <v>0.35562797137693192</v>
      </c>
      <c r="BL52" t="s">
        <v>537</v>
      </c>
      <c r="BM52">
        <f t="shared" si="26"/>
        <v>2019.5833333333296</v>
      </c>
      <c r="BN52" s="376">
        <v>58093.4</v>
      </c>
      <c r="BP52" s="121">
        <f t="shared" si="31"/>
        <v>-0.1270661281209805</v>
      </c>
      <c r="BW52" s="377" t="s">
        <v>537</v>
      </c>
      <c r="BX52" s="378">
        <v>45886.400000000001</v>
      </c>
      <c r="BZ52" s="121">
        <f t="shared" si="32"/>
        <v>-3.9490925836769691E-2</v>
      </c>
    </row>
    <row r="53" spans="1:85" ht="14.75" x14ac:dyDescent="0.75">
      <c r="A53" s="1161"/>
      <c r="B53" s="341" t="s">
        <v>479</v>
      </c>
      <c r="C53" s="342">
        <v>289</v>
      </c>
      <c r="D53" s="343">
        <v>3.5500000000000002E-3</v>
      </c>
      <c r="E53" s="344">
        <v>1.15E-2</v>
      </c>
      <c r="F53" s="345">
        <f t="shared" si="5"/>
        <v>292.14690000000002</v>
      </c>
      <c r="G53" s="382">
        <f>F52+F53</f>
        <v>18153.17308</v>
      </c>
      <c r="H53" s="382">
        <v>6</v>
      </c>
      <c r="I53" s="1163"/>
      <c r="J53" s="391">
        <f t="shared" si="21"/>
        <v>5</v>
      </c>
      <c r="K53" s="365">
        <f t="shared" si="18"/>
        <v>23.281728219125164</v>
      </c>
      <c r="M53" s="342">
        <v>33.9</v>
      </c>
      <c r="N53" s="343">
        <v>4.17E-4</v>
      </c>
      <c r="O53" s="344">
        <v>1.3699999999999999E-3</v>
      </c>
      <c r="P53" s="345">
        <f t="shared" si="7"/>
        <v>34.274726000000001</v>
      </c>
      <c r="Q53" s="382">
        <f>P52+P53</f>
        <v>1864.9299148000002</v>
      </c>
      <c r="R53" s="382">
        <v>4</v>
      </c>
      <c r="S53" s="1163"/>
      <c r="T53" s="364">
        <f t="shared" si="22"/>
        <v>0</v>
      </c>
      <c r="U53" s="365">
        <f t="shared" si="19"/>
        <v>-0.46371851091081434</v>
      </c>
      <c r="AD53" s="342">
        <f t="shared" si="27"/>
        <v>322.89999999999998</v>
      </c>
      <c r="AE53" s="343">
        <f t="shared" si="28"/>
        <v>3.967E-3</v>
      </c>
      <c r="AF53" s="344">
        <f t="shared" si="29"/>
        <v>1.2869999999999999E-2</v>
      </c>
      <c r="AG53" s="345">
        <f t="shared" si="6"/>
        <v>326.421626</v>
      </c>
      <c r="AH53" s="382">
        <f>AG52+AG53</f>
        <v>20018.1029948</v>
      </c>
      <c r="AI53" s="382">
        <f t="shared" si="30"/>
        <v>10</v>
      </c>
      <c r="AJ53" s="1163"/>
      <c r="AK53" s="364">
        <f t="shared" si="23"/>
        <v>1</v>
      </c>
      <c r="AL53" s="365">
        <f t="shared" si="20"/>
        <v>3.2982239674816651</v>
      </c>
      <c r="BL53" t="s">
        <v>538</v>
      </c>
      <c r="BM53">
        <f t="shared" si="26"/>
        <v>2019.6666666666629</v>
      </c>
      <c r="BN53" s="376">
        <v>69422.600000000006</v>
      </c>
      <c r="BP53" s="121">
        <f t="shared" si="31"/>
        <v>0.10124857431563192</v>
      </c>
      <c r="BW53" s="377" t="s">
        <v>538</v>
      </c>
      <c r="BX53" s="378">
        <v>50404.6</v>
      </c>
      <c r="BZ53" s="121">
        <f t="shared" si="32"/>
        <v>3.3160609017193081E-2</v>
      </c>
    </row>
    <row r="54" spans="1:85" ht="14.75" x14ac:dyDescent="0.75">
      <c r="A54" s="1161"/>
      <c r="B54" s="341" t="s">
        <v>480</v>
      </c>
      <c r="C54" s="342">
        <v>16500</v>
      </c>
      <c r="D54" s="343">
        <v>0.17599999999999999</v>
      </c>
      <c r="E54" s="344">
        <v>0.64</v>
      </c>
      <c r="F54" s="345">
        <f t="shared" si="5"/>
        <v>16674.527999999998</v>
      </c>
      <c r="G54" s="382">
        <f>F54+F53+F52</f>
        <v>34827.701079999999</v>
      </c>
      <c r="H54" s="382">
        <v>103</v>
      </c>
      <c r="I54" s="1163"/>
      <c r="J54" s="391">
        <f t="shared" si="21"/>
        <v>0.24096385542168675</v>
      </c>
      <c r="K54" s="365">
        <f t="shared" ref="K54:K73" si="33">(F54-F41)/F41</f>
        <v>0.34149219667902292</v>
      </c>
      <c r="M54" s="342">
        <v>2210</v>
      </c>
      <c r="N54" s="343">
        <v>2.8899999999999999E-2</v>
      </c>
      <c r="O54" s="344">
        <v>9.2999999999999999E-2</v>
      </c>
      <c r="P54" s="345">
        <f t="shared" si="7"/>
        <v>2235.4542000000001</v>
      </c>
      <c r="Q54" s="382">
        <f>P54+P53+P52</f>
        <v>4100.3841148000001</v>
      </c>
      <c r="R54" s="382">
        <v>62</v>
      </c>
      <c r="S54" s="1163"/>
      <c r="T54" s="364">
        <f t="shared" si="22"/>
        <v>0</v>
      </c>
      <c r="U54" s="365">
        <f t="shared" ref="U54:U73" si="34">(P54-P41)/P41</f>
        <v>0.12180564879733258</v>
      </c>
      <c r="AD54" s="342">
        <f t="shared" si="27"/>
        <v>18710</v>
      </c>
      <c r="AE54" s="343">
        <f t="shared" si="28"/>
        <v>0.2049</v>
      </c>
      <c r="AF54" s="344">
        <f t="shared" si="29"/>
        <v>0.73299999999999998</v>
      </c>
      <c r="AG54" s="345">
        <f t="shared" si="6"/>
        <v>18909.982199999999</v>
      </c>
      <c r="AH54" s="382">
        <f>AG54+AG53+AG52</f>
        <v>38928.085194799998</v>
      </c>
      <c r="AI54" s="382">
        <f t="shared" si="30"/>
        <v>165</v>
      </c>
      <c r="AJ54" s="1163"/>
      <c r="AK54" s="364">
        <f t="shared" si="23"/>
        <v>0.13793103448275862</v>
      </c>
      <c r="AL54" s="365">
        <f t="shared" ref="AL54:AL73" si="35">(AG54-AG41)/AG41</f>
        <v>0.31113867224418595</v>
      </c>
      <c r="AO54" t="s">
        <v>480</v>
      </c>
      <c r="AP54" t="s">
        <v>477</v>
      </c>
      <c r="AQ54" t="s">
        <v>539</v>
      </c>
      <c r="BL54" t="s">
        <v>540</v>
      </c>
      <c r="BM54">
        <f t="shared" si="26"/>
        <v>2019.7499999999961</v>
      </c>
      <c r="BN54" s="376">
        <v>64734.1</v>
      </c>
      <c r="BP54" s="121">
        <f t="shared" si="31"/>
        <v>-0.11416709201651415</v>
      </c>
      <c r="BW54" s="377" t="s">
        <v>540</v>
      </c>
      <c r="BX54" s="378">
        <v>65051.4</v>
      </c>
      <c r="BZ54" s="121">
        <f t="shared" si="32"/>
        <v>6.7091635034628463E-2</v>
      </c>
    </row>
    <row r="55" spans="1:85" ht="14.75" x14ac:dyDescent="0.75">
      <c r="A55" s="1161"/>
      <c r="B55" s="341" t="s">
        <v>483</v>
      </c>
      <c r="C55" s="342">
        <f>C54+C53</f>
        <v>16789</v>
      </c>
      <c r="D55" s="343">
        <f>D54+D53</f>
        <v>0.17954999999999999</v>
      </c>
      <c r="E55" s="344">
        <f>E54+E53</f>
        <v>0.65149999999999997</v>
      </c>
      <c r="F55" s="345">
        <f t="shared" si="5"/>
        <v>16966.674899999998</v>
      </c>
      <c r="G55" s="382">
        <f>F55+F52</f>
        <v>34827.701079999999</v>
      </c>
      <c r="H55" s="382">
        <f>H54+H53</f>
        <v>109</v>
      </c>
      <c r="I55" s="1163"/>
      <c r="J55" s="391">
        <f t="shared" si="21"/>
        <v>0.29761904761904762</v>
      </c>
      <c r="K55" s="365">
        <f t="shared" si="33"/>
        <v>0.36367589734621236</v>
      </c>
      <c r="M55" s="342">
        <f>M54+M53</f>
        <v>2243.9</v>
      </c>
      <c r="N55" s="343">
        <f>N54+N53</f>
        <v>2.9316999999999999E-2</v>
      </c>
      <c r="O55" s="344">
        <f>O54+O53</f>
        <v>9.4369999999999996E-2</v>
      </c>
      <c r="P55" s="345">
        <f t="shared" si="7"/>
        <v>2269.7289260000002</v>
      </c>
      <c r="Q55" s="382">
        <f>P55+P52</f>
        <v>4100.3841148000001</v>
      </c>
      <c r="R55" s="382">
        <f>R54+R53</f>
        <v>66</v>
      </c>
      <c r="S55" s="1163"/>
      <c r="T55" s="364">
        <f t="shared" si="22"/>
        <v>0</v>
      </c>
      <c r="U55" s="365">
        <f t="shared" si="34"/>
        <v>0.10360999615090713</v>
      </c>
      <c r="AD55" s="342">
        <f t="shared" si="27"/>
        <v>19032.900000000001</v>
      </c>
      <c r="AE55" s="343">
        <f t="shared" si="28"/>
        <v>0.208867</v>
      </c>
      <c r="AF55" s="344">
        <f t="shared" si="29"/>
        <v>0.74586999999999992</v>
      </c>
      <c r="AG55" s="345">
        <f t="shared" si="6"/>
        <v>19236.403826000002</v>
      </c>
      <c r="AH55" s="382">
        <f>AG55+AG52</f>
        <v>38928.085194800005</v>
      </c>
      <c r="AI55" s="382">
        <f t="shared" si="30"/>
        <v>175</v>
      </c>
      <c r="AJ55" s="1163"/>
      <c r="AK55" s="364">
        <f t="shared" si="23"/>
        <v>0.16666666666666666</v>
      </c>
      <c r="AL55" s="365">
        <f t="shared" si="35"/>
        <v>0.32678506380264771</v>
      </c>
      <c r="AN55">
        <v>2016</v>
      </c>
      <c r="AO55" s="388">
        <f>AG15/AG21</f>
        <v>0.34584183528553203</v>
      </c>
      <c r="AP55" s="388">
        <f>AG13/AG21</f>
        <v>0.28502914184080569</v>
      </c>
      <c r="AQ55" s="388">
        <f>AG10/AG21</f>
        <v>0.21525364987925383</v>
      </c>
      <c r="BL55" t="s">
        <v>541</v>
      </c>
      <c r="BM55">
        <f t="shared" si="26"/>
        <v>2019.8333333333294</v>
      </c>
      <c r="BN55" s="376">
        <v>57174.6</v>
      </c>
      <c r="BP55" s="121">
        <f t="shared" si="31"/>
        <v>-0.21232135033932067</v>
      </c>
      <c r="BW55" s="377" t="s">
        <v>541</v>
      </c>
      <c r="BX55" s="378">
        <v>52114.1</v>
      </c>
      <c r="BZ55" s="121">
        <f t="shared" si="32"/>
        <v>-3.1255402403546795E-2</v>
      </c>
    </row>
    <row r="56" spans="1:85" ht="14.75" x14ac:dyDescent="0.75">
      <c r="A56" s="1161"/>
      <c r="B56" s="341" t="s">
        <v>486</v>
      </c>
      <c r="C56" s="342">
        <f>C55+C52</f>
        <v>34455</v>
      </c>
      <c r="D56" s="384">
        <f>D55+D52</f>
        <v>0.40336</v>
      </c>
      <c r="E56" s="385">
        <f>E55+E52</f>
        <v>1.3637999999999999</v>
      </c>
      <c r="F56" s="345">
        <f t="shared" si="5"/>
        <v>34827.701079999999</v>
      </c>
      <c r="G56" s="382">
        <f>F56</f>
        <v>34827.701079999999</v>
      </c>
      <c r="H56" s="382">
        <f>H55+H52</f>
        <v>586</v>
      </c>
      <c r="I56" s="1163"/>
      <c r="J56" s="391">
        <f t="shared" si="21"/>
        <v>0.12909441233140656</v>
      </c>
      <c r="K56" s="365">
        <f t="shared" si="33"/>
        <v>0.3447345706282981</v>
      </c>
      <c r="M56" s="342">
        <f>M55+M52</f>
        <v>4054.51</v>
      </c>
      <c r="N56" s="384">
        <f>N55+N52</f>
        <v>5.2241599999999999E-2</v>
      </c>
      <c r="O56" s="385">
        <f>O55+O52</f>
        <v>0.16759000000000002</v>
      </c>
      <c r="P56" s="345">
        <f t="shared" si="7"/>
        <v>4100.3841148000001</v>
      </c>
      <c r="Q56" s="382">
        <f>P56</f>
        <v>4100.3841148000001</v>
      </c>
      <c r="R56" s="382">
        <f>R55+R52</f>
        <v>209</v>
      </c>
      <c r="S56" s="1163"/>
      <c r="T56" s="364">
        <f t="shared" si="22"/>
        <v>0.10582010582010581</v>
      </c>
      <c r="U56" s="365">
        <f t="shared" si="34"/>
        <v>0.31209372905354582</v>
      </c>
      <c r="AD56" s="342">
        <f t="shared" si="27"/>
        <v>38509.51</v>
      </c>
      <c r="AE56" s="343">
        <f t="shared" si="28"/>
        <v>0.4556016</v>
      </c>
      <c r="AF56" s="344">
        <f t="shared" si="29"/>
        <v>1.53139</v>
      </c>
      <c r="AG56" s="345">
        <f t="shared" si="6"/>
        <v>38928.085194800005</v>
      </c>
      <c r="AH56" s="382">
        <f>AG56</f>
        <v>38928.085194800005</v>
      </c>
      <c r="AI56" s="382">
        <f t="shared" si="30"/>
        <v>795</v>
      </c>
      <c r="AJ56" s="1163"/>
      <c r="AK56" s="364">
        <f t="shared" si="23"/>
        <v>0.1228813559322034</v>
      </c>
      <c r="AL56" s="365">
        <f t="shared" si="35"/>
        <v>0.34122011514780265</v>
      </c>
      <c r="AN56">
        <v>2017</v>
      </c>
      <c r="AO56" s="388">
        <f>AG28/AG34</f>
        <v>0.32126569137189587</v>
      </c>
      <c r="AP56" s="388">
        <f>AG26/AG34</f>
        <v>0.37896485296848614</v>
      </c>
      <c r="AQ56" s="388">
        <f>AG23/AG34</f>
        <v>0.30329226830316036</v>
      </c>
      <c r="BL56" t="s">
        <v>542</v>
      </c>
      <c r="BM56">
        <f t="shared" si="26"/>
        <v>2019.9166666666626</v>
      </c>
      <c r="BN56" s="376">
        <v>53624.7</v>
      </c>
      <c r="BP56" s="121">
        <f t="shared" si="31"/>
        <v>-0.16537821613284304</v>
      </c>
      <c r="BW56" s="377" t="s">
        <v>542</v>
      </c>
      <c r="BX56" s="378">
        <v>42871.1</v>
      </c>
      <c r="BZ56" s="121">
        <f t="shared" si="32"/>
        <v>-0.19234870349577626</v>
      </c>
    </row>
    <row r="57" spans="1:85" ht="14.75" x14ac:dyDescent="0.75">
      <c r="A57" s="1161"/>
      <c r="B57" s="341" t="s">
        <v>10</v>
      </c>
      <c r="C57" s="342">
        <v>1860</v>
      </c>
      <c r="D57" s="343">
        <v>2.5000000000000001E-2</v>
      </c>
      <c r="E57" s="344">
        <v>7.5899999999999995E-2</v>
      </c>
      <c r="F57" s="345">
        <f t="shared" si="5"/>
        <v>1880.8135</v>
      </c>
      <c r="G57" s="382">
        <f>F56+F57</f>
        <v>36708.514579999995</v>
      </c>
      <c r="H57" s="382">
        <v>42</v>
      </c>
      <c r="I57" s="1163"/>
      <c r="J57" s="391">
        <f t="shared" si="21"/>
        <v>-0.46153846153846156</v>
      </c>
      <c r="K57" s="365">
        <f t="shared" si="33"/>
        <v>-5.5822014289475051E-2</v>
      </c>
      <c r="M57" s="342">
        <v>8060</v>
      </c>
      <c r="N57" s="343">
        <v>0.106</v>
      </c>
      <c r="O57" s="344">
        <v>0.33400000000000002</v>
      </c>
      <c r="P57" s="345">
        <f t="shared" si="7"/>
        <v>8151.4780000000001</v>
      </c>
      <c r="Q57" s="382">
        <f>P56+P57</f>
        <v>12251.8621148</v>
      </c>
      <c r="R57" s="382">
        <v>294</v>
      </c>
      <c r="S57" s="1163"/>
      <c r="T57" s="364">
        <f t="shared" si="22"/>
        <v>-0.20108695652173914</v>
      </c>
      <c r="U57" s="365">
        <f t="shared" si="34"/>
        <v>7.7617772842346097E-2</v>
      </c>
      <c r="AD57" s="342">
        <f t="shared" si="27"/>
        <v>9920</v>
      </c>
      <c r="AE57" s="343">
        <f t="shared" si="28"/>
        <v>0.13100000000000001</v>
      </c>
      <c r="AF57" s="344">
        <f t="shared" si="29"/>
        <v>0.40990000000000004</v>
      </c>
      <c r="AG57" s="345">
        <f t="shared" si="6"/>
        <v>10032.291499999999</v>
      </c>
      <c r="AH57" s="382">
        <f>AG56+AG57</f>
        <v>48960.376694800005</v>
      </c>
      <c r="AI57" s="382">
        <f t="shared" si="30"/>
        <v>336</v>
      </c>
      <c r="AJ57" s="1163"/>
      <c r="AK57" s="364">
        <f t="shared" si="23"/>
        <v>-0.24663677130044842</v>
      </c>
      <c r="AL57" s="365">
        <f t="shared" si="35"/>
        <v>4.9802416434304782E-2</v>
      </c>
      <c r="AN57">
        <v>2018</v>
      </c>
      <c r="AO57" s="388">
        <f>AG41/AG47</f>
        <v>0.34730553209050863</v>
      </c>
      <c r="AP57" s="388">
        <f>AG39/AG47</f>
        <v>0.3497933000571597</v>
      </c>
      <c r="AQ57" s="388">
        <f>AG36/AG47</f>
        <v>0.28940741797494324</v>
      </c>
      <c r="BL57" t="s">
        <v>543</v>
      </c>
      <c r="BM57">
        <f t="shared" si="26"/>
        <v>2019.9999999999959</v>
      </c>
      <c r="BN57" s="376">
        <v>50798</v>
      </c>
      <c r="BP57" s="121">
        <f t="shared" si="31"/>
        <v>-3.4172254935326975E-2</v>
      </c>
      <c r="BW57" s="377" t="s">
        <v>543</v>
      </c>
      <c r="BX57" s="378">
        <v>46755.4</v>
      </c>
      <c r="BZ57" s="121">
        <f t="shared" si="32"/>
        <v>-0.38927335188160456</v>
      </c>
    </row>
    <row r="58" spans="1:85" ht="14.75" x14ac:dyDescent="0.75">
      <c r="A58" s="1161"/>
      <c r="B58" s="341" t="s">
        <v>498</v>
      </c>
      <c r="C58" s="342">
        <v>0</v>
      </c>
      <c r="D58" s="343">
        <v>0</v>
      </c>
      <c r="E58" s="344">
        <v>0</v>
      </c>
      <c r="F58" s="345">
        <f t="shared" si="5"/>
        <v>0</v>
      </c>
      <c r="G58" s="382">
        <f>SUM(F56:F58)</f>
        <v>36708.514579999995</v>
      </c>
      <c r="H58" s="382">
        <v>0</v>
      </c>
      <c r="I58" s="1163"/>
      <c r="J58" s="391" t="e">
        <f>(H58-H45)/H45</f>
        <v>#DIV/0!</v>
      </c>
      <c r="K58" s="365" t="e">
        <f t="shared" si="33"/>
        <v>#DIV/0!</v>
      </c>
      <c r="M58" s="342">
        <v>884</v>
      </c>
      <c r="N58" s="343">
        <v>1.0500000000000001E-2</v>
      </c>
      <c r="O58" s="344">
        <v>3.7999999999999999E-2</v>
      </c>
      <c r="P58" s="345">
        <f t="shared" si="7"/>
        <v>894.36400000000003</v>
      </c>
      <c r="Q58" s="382">
        <f>SUM(P56:P58)</f>
        <v>13146.2261148</v>
      </c>
      <c r="R58" s="382">
        <v>5542</v>
      </c>
      <c r="S58" s="1163"/>
      <c r="T58" s="364">
        <f t="shared" si="22"/>
        <v>0.22610619469026549</v>
      </c>
      <c r="U58" s="365">
        <f t="shared" si="34"/>
        <v>8.9963856201656589E-2</v>
      </c>
      <c r="AD58" s="342">
        <f t="shared" si="27"/>
        <v>884</v>
      </c>
      <c r="AE58" s="343">
        <f t="shared" si="28"/>
        <v>1.0500000000000001E-2</v>
      </c>
      <c r="AF58" s="344">
        <f t="shared" si="29"/>
        <v>3.7999999999999999E-2</v>
      </c>
      <c r="AG58" s="345">
        <f t="shared" si="6"/>
        <v>894.36400000000003</v>
      </c>
      <c r="AH58" s="382">
        <f>SUM(AG56:AG58)</f>
        <v>49854.740694800006</v>
      </c>
      <c r="AI58" s="382">
        <f t="shared" si="30"/>
        <v>5542</v>
      </c>
      <c r="AJ58" s="1163"/>
      <c r="AK58" s="364">
        <f>(AI58-AI45)/AI45</f>
        <v>0.22610619469026549</v>
      </c>
      <c r="AL58" s="365">
        <f t="shared" si="35"/>
        <v>8.9963856201656589E-2</v>
      </c>
      <c r="AN58">
        <v>2019</v>
      </c>
      <c r="AO58" s="388">
        <f>AG54/AG60</f>
        <v>0.37024854317091321</v>
      </c>
      <c r="AP58" s="388">
        <f>AG52/AG60</f>
        <v>0.3855538446452908</v>
      </c>
      <c r="AQ58" s="388">
        <f>AG49/AG60</f>
        <v>0.28454534328206887</v>
      </c>
      <c r="BL58" t="s">
        <v>544</v>
      </c>
      <c r="BM58">
        <f t="shared" si="26"/>
        <v>2020.0833333333292</v>
      </c>
      <c r="BN58" s="376">
        <v>49383.5</v>
      </c>
      <c r="BP58" s="121">
        <f t="shared" si="31"/>
        <v>-0.18278610801749487</v>
      </c>
      <c r="BW58" s="377" t="s">
        <v>544</v>
      </c>
      <c r="BX58" s="378">
        <v>46096.2</v>
      </c>
      <c r="BZ58" s="121">
        <f t="shared" si="32"/>
        <v>3.1119561570294087E-2</v>
      </c>
    </row>
    <row r="59" spans="1:85" ht="15.5" thickBot="1" x14ac:dyDescent="0.9">
      <c r="A59" s="1227"/>
      <c r="B59" s="341" t="s">
        <v>500</v>
      </c>
      <c r="C59" s="350">
        <v>150</v>
      </c>
      <c r="D59" s="351">
        <v>1.6999999999999999E-3</v>
      </c>
      <c r="E59" s="352">
        <v>5.6299999999999996E-3</v>
      </c>
      <c r="F59" s="386">
        <f t="shared" si="5"/>
        <v>151.53954999999999</v>
      </c>
      <c r="G59" s="382">
        <f>SUM(F56:F59)</f>
        <v>36860.054129999997</v>
      </c>
      <c r="H59" s="382">
        <v>9</v>
      </c>
      <c r="I59" s="1163"/>
      <c r="J59" s="392">
        <f t="shared" si="21"/>
        <v>-0.70967741935483875</v>
      </c>
      <c r="K59" s="369">
        <f t="shared" si="33"/>
        <v>-0.81651307552242047</v>
      </c>
      <c r="M59" s="350">
        <v>1060</v>
      </c>
      <c r="N59" s="351">
        <v>7.5199999999999998E-3</v>
      </c>
      <c r="O59" s="352">
        <v>2.7400000000000001E-2</v>
      </c>
      <c r="P59" s="386">
        <f t="shared" si="7"/>
        <v>1067.47156</v>
      </c>
      <c r="Q59" s="382">
        <f>SUM(P56:P59)</f>
        <v>14213.6976748</v>
      </c>
      <c r="R59" s="382">
        <v>83</v>
      </c>
      <c r="S59" s="1163"/>
      <c r="T59" s="368">
        <f>(R59-R46)/R46</f>
        <v>-0.24545454545454545</v>
      </c>
      <c r="U59" s="369">
        <f t="shared" si="34"/>
        <v>-0.17877106258315881</v>
      </c>
      <c r="AD59" s="350">
        <f t="shared" si="27"/>
        <v>1210</v>
      </c>
      <c r="AE59" s="351">
        <f t="shared" si="28"/>
        <v>9.219999999999999E-3</v>
      </c>
      <c r="AF59" s="352">
        <f t="shared" si="29"/>
        <v>3.3030000000000004E-2</v>
      </c>
      <c r="AG59" s="386">
        <f t="shared" si="6"/>
        <v>1219.0111100000001</v>
      </c>
      <c r="AH59" s="382">
        <f>SUM(AG56:AG59)</f>
        <v>51073.751804800006</v>
      </c>
      <c r="AI59" s="382">
        <f t="shared" si="30"/>
        <v>92</v>
      </c>
      <c r="AJ59" s="1163"/>
      <c r="AK59" s="368">
        <f>(AI59-AI46)/AI46</f>
        <v>-0.3475177304964539</v>
      </c>
      <c r="AL59" s="369">
        <f t="shared" si="35"/>
        <v>-0.42654577998085885</v>
      </c>
      <c r="AN59">
        <v>2020</v>
      </c>
      <c r="AO59" s="388">
        <f>AG67/AG73</f>
        <v>2.2807290361616821E-2</v>
      </c>
      <c r="AP59" s="388">
        <f>AG65/AG73</f>
        <v>0.58091399595854654</v>
      </c>
      <c r="AQ59" s="388">
        <f>AG62/AG73</f>
        <v>0.51679250504834062</v>
      </c>
      <c r="BL59" t="s">
        <v>545</v>
      </c>
      <c r="BM59">
        <f t="shared" si="26"/>
        <v>2020.1666666666624</v>
      </c>
      <c r="BN59" s="376">
        <v>68943.5</v>
      </c>
      <c r="BP59" s="121">
        <f t="shared" si="31"/>
        <v>0.11686651741309649</v>
      </c>
      <c r="BW59" s="377" t="s">
        <v>545</v>
      </c>
      <c r="BX59" s="378">
        <v>56167.5</v>
      </c>
      <c r="BZ59" s="121">
        <f t="shared" si="32"/>
        <v>6.5697876288542401E-2</v>
      </c>
    </row>
    <row r="60" spans="1:85" ht="15.5" thickBot="1" x14ac:dyDescent="0.9">
      <c r="A60" s="354" t="s">
        <v>3</v>
      </c>
      <c r="B60" s="355">
        <f>A48</f>
        <v>2019</v>
      </c>
      <c r="C60" s="356">
        <f>SUM(C56:C59)</f>
        <v>36465</v>
      </c>
      <c r="D60" s="387">
        <f>SUM(D56:D59)</f>
        <v>0.43006</v>
      </c>
      <c r="E60" s="387">
        <f>SUM(E56:E59)</f>
        <v>1.44533</v>
      </c>
      <c r="F60" s="357">
        <f t="shared" si="5"/>
        <v>36860.054130000004</v>
      </c>
      <c r="G60" s="357">
        <f>G59</f>
        <v>36860.054129999997</v>
      </c>
      <c r="H60" s="357">
        <f>SUM(H56:H59)</f>
        <v>637</v>
      </c>
      <c r="I60" s="1164"/>
      <c r="J60" s="372">
        <f t="shared" si="21"/>
        <v>1.4331210191082803E-2</v>
      </c>
      <c r="K60" s="373">
        <f t="shared" si="33"/>
        <v>0.28355268256471511</v>
      </c>
      <c r="M60" s="356">
        <f>SUM(M56:M59)</f>
        <v>14058.51</v>
      </c>
      <c r="N60" s="387">
        <f>SUM(N56:N59)</f>
        <v>0.17626159999999999</v>
      </c>
      <c r="O60" s="387">
        <f>SUM(O56:O59)</f>
        <v>0.56698999999999999</v>
      </c>
      <c r="P60" s="357">
        <f>M60+N60*$N$6+O60*$O$6</f>
        <v>14213.697674800002</v>
      </c>
      <c r="Q60" s="357">
        <f>Q59</f>
        <v>14213.6976748</v>
      </c>
      <c r="R60" s="357">
        <f>SUM(R56:R59)</f>
        <v>6128</v>
      </c>
      <c r="S60" s="1164"/>
      <c r="T60" s="372">
        <f>(R60-R47)/R47</f>
        <v>0.18141507615191826</v>
      </c>
      <c r="U60" s="373">
        <f t="shared" si="34"/>
        <v>0.10959467368414488</v>
      </c>
      <c r="AD60" s="356">
        <f t="shared" si="27"/>
        <v>50523.51</v>
      </c>
      <c r="AE60" s="356">
        <f t="shared" si="28"/>
        <v>0.60632160000000002</v>
      </c>
      <c r="AF60" s="356">
        <f t="shared" si="29"/>
        <v>2.0123199999999999</v>
      </c>
      <c r="AG60" s="357">
        <f t="shared" si="6"/>
        <v>51073.751804799998</v>
      </c>
      <c r="AH60" s="357">
        <f>AH59</f>
        <v>51073.751804800006</v>
      </c>
      <c r="AI60" s="357">
        <f t="shared" si="30"/>
        <v>6765</v>
      </c>
      <c r="AJ60" s="1164"/>
      <c r="AK60" s="372">
        <f>(AI60-AI47)/AI47</f>
        <v>0.16337059329320722</v>
      </c>
      <c r="AL60" s="373">
        <f t="shared" si="35"/>
        <v>0.22989198096049024</v>
      </c>
      <c r="AN60">
        <v>2021</v>
      </c>
      <c r="AO60" s="388">
        <f>AG80/AG86</f>
        <v>0.13863853026285078</v>
      </c>
      <c r="BL60" t="s">
        <v>546</v>
      </c>
      <c r="BM60">
        <f t="shared" si="26"/>
        <v>2020.2499999999957</v>
      </c>
      <c r="BN60" s="376">
        <v>47735.9</v>
      </c>
      <c r="BP60" s="121">
        <f t="shared" si="31"/>
        <v>-0.2719612370706353</v>
      </c>
      <c r="BR60" s="376">
        <f>SUM(BN9:BN16)</f>
        <v>446284.9</v>
      </c>
      <c r="BW60" s="377" t="s">
        <v>546</v>
      </c>
      <c r="BX60" s="378">
        <v>47267.199999999997</v>
      </c>
      <c r="BZ60" s="121">
        <f t="shared" si="32"/>
        <v>-5.9025883795652989E-2</v>
      </c>
      <c r="CB60" s="376">
        <f>SUM(BX9:BX16)</f>
        <v>359424.50000000006</v>
      </c>
      <c r="CF60" s="376">
        <f>BR60+CB60</f>
        <v>805709.40000000014</v>
      </c>
    </row>
    <row r="61" spans="1:85" ht="15" customHeight="1" x14ac:dyDescent="0.75">
      <c r="A61" s="1161">
        <v>2020</v>
      </c>
      <c r="B61" s="333" t="s">
        <v>469</v>
      </c>
      <c r="C61" s="334">
        <v>0</v>
      </c>
      <c r="D61" s="335">
        <v>0</v>
      </c>
      <c r="E61" s="336">
        <v>0</v>
      </c>
      <c r="F61" s="337">
        <f t="shared" ref="F61:F73" si="36">C61+D61*$D$6+E61*$E$6</f>
        <v>0</v>
      </c>
      <c r="G61" s="381">
        <f>F61</f>
        <v>0</v>
      </c>
      <c r="H61" s="381">
        <v>0</v>
      </c>
      <c r="I61" s="1165" t="str">
        <f>"Milli áranna "&amp; $A48 &amp;" og "&amp; $A61</f>
        <v>Milli áranna 2019 og 2020</v>
      </c>
      <c r="J61" s="390">
        <f t="shared" ref="J61:J73" si="37">(H61-H48)/H48</f>
        <v>-1</v>
      </c>
      <c r="K61" s="361">
        <f t="shared" si="33"/>
        <v>-1</v>
      </c>
      <c r="M61" s="334">
        <v>0</v>
      </c>
      <c r="N61" s="335">
        <v>0</v>
      </c>
      <c r="O61" s="336">
        <v>0</v>
      </c>
      <c r="P61" s="337">
        <f t="shared" ref="P61:P72" si="38">M61+N61*$N$6+O61*$O$6</f>
        <v>0</v>
      </c>
      <c r="Q61" s="381">
        <f>P61</f>
        <v>0</v>
      </c>
      <c r="R61" s="381">
        <v>0</v>
      </c>
      <c r="S61" s="1165" t="str">
        <f>"Milli áranna "&amp; $A48 &amp;" og "&amp; $A61</f>
        <v>Milli áranna 2019 og 2020</v>
      </c>
      <c r="T61" s="360">
        <f t="shared" ref="T61:T71" si="39">(R61-R48)/R48</f>
        <v>-1</v>
      </c>
      <c r="U61" s="361">
        <f t="shared" si="34"/>
        <v>-1</v>
      </c>
      <c r="AD61" s="334">
        <f t="shared" si="27"/>
        <v>0</v>
      </c>
      <c r="AE61" s="398">
        <f t="shared" si="28"/>
        <v>0</v>
      </c>
      <c r="AF61" s="401">
        <f t="shared" si="29"/>
        <v>0</v>
      </c>
      <c r="AG61" s="337">
        <f t="shared" ref="AG61:AG72" si="40">AD61+AE61*$AE$6+AF61*$AF$6</f>
        <v>0</v>
      </c>
      <c r="AH61" s="381">
        <f>AG61</f>
        <v>0</v>
      </c>
      <c r="AI61" s="381">
        <f t="shared" si="30"/>
        <v>0</v>
      </c>
      <c r="AJ61" s="1165" t="str">
        <f>"Milli áranna "&amp; $A48 &amp;" og "&amp; $A61</f>
        <v>Milli áranna 2019 og 2020</v>
      </c>
      <c r="AK61" s="360">
        <f t="shared" ref="AK61:AK70" si="41">(AI61-AI48)/AI48</f>
        <v>-1</v>
      </c>
      <c r="AL61" s="361">
        <f t="shared" si="35"/>
        <v>-1</v>
      </c>
      <c r="AN61">
        <v>2022</v>
      </c>
      <c r="AO61" s="388">
        <f>AG93/AG99</f>
        <v>0.41743529277523156</v>
      </c>
      <c r="BL61" t="s">
        <v>547</v>
      </c>
      <c r="BM61">
        <f t="shared" si="26"/>
        <v>2020.3333333333289</v>
      </c>
      <c r="BN61" s="376">
        <v>51382.8</v>
      </c>
      <c r="BP61" s="121">
        <f t="shared" si="31"/>
        <v>-0.2220290943446504</v>
      </c>
      <c r="BR61" s="376">
        <f>SUM(BN21:BN28)</f>
        <v>443910</v>
      </c>
      <c r="BS61" s="121">
        <f>(BR61-BR60)/BR60</f>
        <v>-5.3214885827417039E-3</v>
      </c>
      <c r="BW61" s="377" t="s">
        <v>547</v>
      </c>
      <c r="BX61" s="378">
        <v>52949.1</v>
      </c>
      <c r="BZ61" s="121">
        <f t="shared" si="32"/>
        <v>-0.16260190888890649</v>
      </c>
      <c r="CB61" s="376">
        <f>SUM(BX21:BX28)</f>
        <v>329973.8</v>
      </c>
      <c r="CC61" s="121">
        <f>(CB61-CB60)/CB60</f>
        <v>-8.1938487776988117E-2</v>
      </c>
      <c r="CF61" s="376">
        <f>BR61+CB61</f>
        <v>773883.8</v>
      </c>
      <c r="CG61" s="121">
        <f>(CF61-CF60)/CF60</f>
        <v>-3.9500097677897375E-2</v>
      </c>
    </row>
    <row r="62" spans="1:85" ht="14.75" x14ac:dyDescent="0.75">
      <c r="A62" s="1161"/>
      <c r="B62" s="341" t="s">
        <v>471</v>
      </c>
      <c r="C62" s="342">
        <v>19000</v>
      </c>
      <c r="D62" s="343">
        <v>0.245</v>
      </c>
      <c r="E62" s="344">
        <v>0.76600000000000001</v>
      </c>
      <c r="F62" s="345">
        <f t="shared" si="36"/>
        <v>19209.850000000002</v>
      </c>
      <c r="G62" s="382">
        <f>F62+F61</f>
        <v>19209.850000000002</v>
      </c>
      <c r="H62" s="382">
        <v>267</v>
      </c>
      <c r="I62" s="1163"/>
      <c r="J62" s="391">
        <f t="shared" si="37"/>
        <v>-0.1981981981981982</v>
      </c>
      <c r="K62" s="365">
        <f t="shared" si="33"/>
        <v>0.33802353365650012</v>
      </c>
      <c r="M62" s="342">
        <v>205</v>
      </c>
      <c r="N62" s="343">
        <v>2.5400000000000002E-3</v>
      </c>
      <c r="O62" s="344">
        <v>8.1499999999999993E-3</v>
      </c>
      <c r="P62" s="345">
        <f t="shared" si="38"/>
        <v>207.23087000000001</v>
      </c>
      <c r="Q62" s="382">
        <f>P62+P61</f>
        <v>207.23087000000001</v>
      </c>
      <c r="R62" s="382">
        <v>3</v>
      </c>
      <c r="S62" s="1163"/>
      <c r="T62" s="364">
        <f t="shared" si="39"/>
        <v>-0.5</v>
      </c>
      <c r="U62" s="365">
        <f t="shared" si="34"/>
        <v>0.17802883967119251</v>
      </c>
      <c r="AD62" s="342">
        <f t="shared" si="27"/>
        <v>19205</v>
      </c>
      <c r="AE62" s="399">
        <f t="shared" si="28"/>
        <v>0.24753999999999998</v>
      </c>
      <c r="AF62" s="402">
        <f t="shared" si="29"/>
        <v>0.77415</v>
      </c>
      <c r="AG62" s="345">
        <f t="shared" si="40"/>
        <v>19417.080870000002</v>
      </c>
      <c r="AH62" s="382">
        <f>AG62+AG61</f>
        <v>19417.080870000002</v>
      </c>
      <c r="AI62" s="382">
        <f t="shared" si="30"/>
        <v>270</v>
      </c>
      <c r="AJ62" s="1163"/>
      <c r="AK62" s="364">
        <f t="shared" si="41"/>
        <v>-0.20353982300884957</v>
      </c>
      <c r="AL62" s="365">
        <f t="shared" si="35"/>
        <v>0.33608686705334745</v>
      </c>
      <c r="AN62" s="32"/>
      <c r="BL62" t="s">
        <v>548</v>
      </c>
      <c r="BM62">
        <f>BM61+$BM$2</f>
        <v>2020.4166666666622</v>
      </c>
      <c r="BN62" s="376">
        <v>59472</v>
      </c>
      <c r="BP62" s="121">
        <f t="shared" si="31"/>
        <v>-0.20360808176033257</v>
      </c>
      <c r="BR62" s="376">
        <f>SUM(BN33:BN40)</f>
        <v>506662.70000000007</v>
      </c>
      <c r="BS62" s="121">
        <f>(BR62-BR61)/BR61</f>
        <v>0.14136356468653571</v>
      </c>
      <c r="BW62" s="377" t="s">
        <v>548</v>
      </c>
      <c r="BX62" s="378">
        <v>46495.1</v>
      </c>
      <c r="BZ62" s="121">
        <f t="shared" si="32"/>
        <v>1.765878791725662E-2</v>
      </c>
      <c r="CB62" s="376">
        <f>SUM(BX33:BX40)</f>
        <v>385477.5</v>
      </c>
      <c r="CC62" s="121">
        <f>(CB62-CB61)/CB61</f>
        <v>0.16820638487055642</v>
      </c>
      <c r="CF62" s="376">
        <f>BR62+CB62</f>
        <v>892140.20000000007</v>
      </c>
      <c r="CG62" s="121">
        <f>(CF62-CF61)/CF61</f>
        <v>0.15280898760253156</v>
      </c>
    </row>
    <row r="63" spans="1:85" ht="14.75" x14ac:dyDescent="0.75">
      <c r="A63" s="1161"/>
      <c r="B63" s="341" t="s">
        <v>473</v>
      </c>
      <c r="C63" s="342">
        <v>1210</v>
      </c>
      <c r="D63" s="343">
        <v>1.6299999999999999E-2</v>
      </c>
      <c r="E63" s="344">
        <v>5.1700000000000003E-2</v>
      </c>
      <c r="F63" s="345">
        <f>C63+D63*$D$6+E63*$E$6</f>
        <v>1224.1569</v>
      </c>
      <c r="G63" s="382">
        <f>F63+F62+F61</f>
        <v>20434.0069</v>
      </c>
      <c r="H63" s="382">
        <v>100</v>
      </c>
      <c r="I63" s="1163"/>
      <c r="J63" s="391">
        <f t="shared" si="37"/>
        <v>-0.18032786885245902</v>
      </c>
      <c r="K63" s="365">
        <f t="shared" si="33"/>
        <v>-0.29651180665657045</v>
      </c>
      <c r="M63" s="342">
        <v>0</v>
      </c>
      <c r="N63" s="343">
        <v>0</v>
      </c>
      <c r="O63" s="344">
        <v>0</v>
      </c>
      <c r="P63" s="345">
        <f t="shared" si="38"/>
        <v>0</v>
      </c>
      <c r="Q63" s="382">
        <f>P63+P62+P61</f>
        <v>207.23087000000001</v>
      </c>
      <c r="R63" s="382">
        <v>0</v>
      </c>
      <c r="S63" s="1163"/>
      <c r="T63" s="364">
        <f t="shared" si="39"/>
        <v>-1</v>
      </c>
      <c r="U63" s="365">
        <f t="shared" si="34"/>
        <v>-1</v>
      </c>
      <c r="AD63" s="342">
        <f t="shared" si="27"/>
        <v>1210</v>
      </c>
      <c r="AE63" s="399">
        <f t="shared" si="28"/>
        <v>1.6299999999999999E-2</v>
      </c>
      <c r="AF63" s="402">
        <f t="shared" si="29"/>
        <v>5.1700000000000003E-2</v>
      </c>
      <c r="AG63" s="345">
        <f t="shared" si="40"/>
        <v>1224.1569</v>
      </c>
      <c r="AH63" s="382">
        <f>AG63+AG62+AG61</f>
        <v>20641.23777</v>
      </c>
      <c r="AI63" s="382">
        <f t="shared" si="30"/>
        <v>100</v>
      </c>
      <c r="AJ63" s="1163"/>
      <c r="AK63" s="364">
        <f t="shared" si="41"/>
        <v>-0.19354838709677419</v>
      </c>
      <c r="AL63" s="365">
        <f t="shared" si="35"/>
        <v>-0.29960998549167389</v>
      </c>
      <c r="BL63" t="s">
        <v>549</v>
      </c>
      <c r="BM63">
        <f t="shared" si="26"/>
        <v>2020.4999999999955</v>
      </c>
      <c r="BN63" s="376">
        <v>58235</v>
      </c>
      <c r="BP63" s="121">
        <f t="shared" si="31"/>
        <v>-0.18621306446992406</v>
      </c>
      <c r="BR63" s="376">
        <f>SUM(BN45:BN52)</f>
        <v>510699.5</v>
      </c>
      <c r="BS63" s="121">
        <f>(BR63-BR62)/BR62</f>
        <v>7.9674307976488681E-3</v>
      </c>
      <c r="BW63" s="377" t="s">
        <v>549</v>
      </c>
      <c r="BX63" s="378">
        <v>46768.1</v>
      </c>
      <c r="BZ63" s="121">
        <f t="shared" si="32"/>
        <v>-9.2036700524958923E-2</v>
      </c>
      <c r="CB63" s="376">
        <f>SUM(BX45:BX52)</f>
        <v>430513.1</v>
      </c>
      <c r="CC63" s="121">
        <f>(CB63-CB62)/CB62</f>
        <v>0.11683068402176515</v>
      </c>
      <c r="CF63" s="376">
        <f>BR63+CB63</f>
        <v>941212.6</v>
      </c>
      <c r="CG63" s="121">
        <f>(CF63-CF62)/CF62</f>
        <v>5.5005255900361739E-2</v>
      </c>
    </row>
    <row r="64" spans="1:85" ht="14.75" x14ac:dyDescent="0.75">
      <c r="A64" s="1161"/>
      <c r="B64" s="341" t="s">
        <v>475</v>
      </c>
      <c r="C64" s="342">
        <v>68</v>
      </c>
      <c r="D64" s="343">
        <v>7.8299999999999995E-4</v>
      </c>
      <c r="E64" s="344">
        <v>2.5200000000000001E-3</v>
      </c>
      <c r="F64" s="345">
        <f t="shared" si="36"/>
        <v>68.689723999999998</v>
      </c>
      <c r="G64" s="382">
        <f>SUM(F61:F64)</f>
        <v>20502.696624</v>
      </c>
      <c r="H64" s="382">
        <v>2</v>
      </c>
      <c r="I64" s="1163"/>
      <c r="J64" s="391">
        <f t="shared" si="37"/>
        <v>-0.77777777777777779</v>
      </c>
      <c r="K64" s="365">
        <f t="shared" si="33"/>
        <v>-0.90631508171760866</v>
      </c>
      <c r="M64" s="342">
        <v>1100</v>
      </c>
      <c r="N64" s="343">
        <v>0.17299999999999999</v>
      </c>
      <c r="O64" s="344">
        <v>4.3400000000000001E-2</v>
      </c>
      <c r="P64" s="345">
        <f t="shared" si="38"/>
        <v>1116.345</v>
      </c>
      <c r="Q64" s="382">
        <f>SUM(P61:P64)</f>
        <v>1323.5758700000001</v>
      </c>
      <c r="R64" s="382">
        <v>150</v>
      </c>
      <c r="S64" s="1163"/>
      <c r="T64" s="364">
        <f t="shared" si="39"/>
        <v>0.11940298507462686</v>
      </c>
      <c r="U64" s="365">
        <f t="shared" si="34"/>
        <v>-1.3916092526857653E-2</v>
      </c>
      <c r="AD64" s="342">
        <f t="shared" si="27"/>
        <v>1168</v>
      </c>
      <c r="AE64" s="399">
        <f t="shared" si="28"/>
        <v>0.17378299999999999</v>
      </c>
      <c r="AF64" s="402">
        <f t="shared" si="29"/>
        <v>4.5920000000000002E-2</v>
      </c>
      <c r="AG64" s="345">
        <f t="shared" si="40"/>
        <v>1185.0347239999999</v>
      </c>
      <c r="AH64" s="382">
        <f>SUM(AG61:AG64)</f>
        <v>21826.272494000001</v>
      </c>
      <c r="AI64" s="382">
        <f t="shared" si="30"/>
        <v>152</v>
      </c>
      <c r="AJ64" s="1163"/>
      <c r="AK64" s="364">
        <f t="shared" si="41"/>
        <v>6.2937062937062943E-2</v>
      </c>
      <c r="AL64" s="365">
        <f t="shared" si="35"/>
        <v>-0.36469441962536425</v>
      </c>
      <c r="BL64" t="s">
        <v>550</v>
      </c>
      <c r="BM64">
        <f t="shared" si="26"/>
        <v>2020.5833333333287</v>
      </c>
      <c r="BN64" s="376">
        <v>55303.6</v>
      </c>
      <c r="BP64" s="121">
        <f>(BN64-BN52)/BN52</f>
        <v>-4.8022666946675577E-2</v>
      </c>
      <c r="BR64" s="376">
        <f>SUM(BN57:BN64)</f>
        <v>441254.3</v>
      </c>
      <c r="BS64" s="121">
        <f>(BR64-BR63)/BR63</f>
        <v>-0.13598055216423752</v>
      </c>
      <c r="BW64" s="377" t="s">
        <v>550</v>
      </c>
      <c r="BX64" s="378">
        <v>44056.6</v>
      </c>
      <c r="BZ64" s="121">
        <f>(BX64-BX52)/BX52</f>
        <v>-3.9876739077373748E-2</v>
      </c>
      <c r="CB64" s="376">
        <f>SUM(BX57:BX64)</f>
        <v>386555.19999999995</v>
      </c>
      <c r="CC64" s="121">
        <f>(CB64-CB63)/CB63</f>
        <v>-0.10210583603611603</v>
      </c>
      <c r="CF64" s="376">
        <f>BR64+CB64</f>
        <v>827809.5</v>
      </c>
      <c r="CG64" s="121">
        <f>(CF64-CF63)/CF63</f>
        <v>-0.12048616858720333</v>
      </c>
    </row>
    <row r="65" spans="1:76" ht="14.25" x14ac:dyDescent="0.65">
      <c r="A65" s="1161"/>
      <c r="B65" s="375" t="s">
        <v>477</v>
      </c>
      <c r="C65" s="342">
        <f>SUM(C61:C64)</f>
        <v>20278</v>
      </c>
      <c r="D65" s="343">
        <f>SUM(D61:D64)</f>
        <v>0.26208299999999995</v>
      </c>
      <c r="E65" s="344">
        <f>SUM(E61:E64)</f>
        <v>0.82021999999999995</v>
      </c>
      <c r="F65" s="345">
        <f t="shared" si="36"/>
        <v>20502.696624</v>
      </c>
      <c r="G65" s="382">
        <f>SUM(F65)</f>
        <v>20502.696624</v>
      </c>
      <c r="H65" s="382">
        <f>SUM(H61:H64)</f>
        <v>369</v>
      </c>
      <c r="I65" s="1163"/>
      <c r="J65" s="391">
        <f t="shared" si="37"/>
        <v>-0.22641509433962265</v>
      </c>
      <c r="K65" s="365">
        <f t="shared" si="33"/>
        <v>0.14790138133037545</v>
      </c>
      <c r="M65" s="342">
        <f>SUM(M61:M64)</f>
        <v>1305</v>
      </c>
      <c r="N65" s="343">
        <f>SUM(N61:N64)</f>
        <v>0.17553999999999997</v>
      </c>
      <c r="O65" s="344">
        <f>SUM(O61:O64)</f>
        <v>5.1549999999999999E-2</v>
      </c>
      <c r="P65" s="345">
        <f t="shared" si="38"/>
        <v>1323.5758699999999</v>
      </c>
      <c r="Q65" s="382">
        <f>SUM(P65)</f>
        <v>1323.5758699999999</v>
      </c>
      <c r="R65" s="382">
        <f>SUM(R61:R64)</f>
        <v>153</v>
      </c>
      <c r="S65" s="1163"/>
      <c r="T65" s="364">
        <f t="shared" si="39"/>
        <v>6.9930069930069935E-2</v>
      </c>
      <c r="U65" s="365">
        <f t="shared" si="34"/>
        <v>-0.27699335292758887</v>
      </c>
      <c r="AD65" s="342">
        <f t="shared" si="27"/>
        <v>21583</v>
      </c>
      <c r="AE65" s="399">
        <f t="shared" si="28"/>
        <v>0.43762299999999993</v>
      </c>
      <c r="AF65" s="402">
        <f t="shared" si="29"/>
        <v>0.87176999999999993</v>
      </c>
      <c r="AG65" s="345">
        <f>AD65+AE65*$AE$6+AF65*$AF$6</f>
        <v>21826.272494000001</v>
      </c>
      <c r="AH65" s="382">
        <f>SUM(AG65)</f>
        <v>21826.272494000001</v>
      </c>
      <c r="AI65" s="382">
        <f t="shared" si="30"/>
        <v>522</v>
      </c>
      <c r="AJ65" s="1163"/>
      <c r="AK65" s="364">
        <f t="shared" si="41"/>
        <v>-0.15806451612903225</v>
      </c>
      <c r="AL65" s="365">
        <f t="shared" si="35"/>
        <v>0.1084006533125252</v>
      </c>
    </row>
    <row r="66" spans="1:76" ht="14.25" x14ac:dyDescent="0.65">
      <c r="A66" s="1161"/>
      <c r="B66" s="341" t="s">
        <v>479</v>
      </c>
      <c r="C66" s="342">
        <v>17</v>
      </c>
      <c r="D66" s="343">
        <v>1.94E-4</v>
      </c>
      <c r="E66" s="344">
        <v>6.9399999999999996E-4</v>
      </c>
      <c r="F66" s="345">
        <f t="shared" si="36"/>
        <v>17.189342</v>
      </c>
      <c r="G66" s="382">
        <f>F65+F66</f>
        <v>20519.885966000002</v>
      </c>
      <c r="H66" s="382">
        <v>1</v>
      </c>
      <c r="I66" s="1163"/>
      <c r="J66" s="391">
        <f t="shared" si="37"/>
        <v>-0.83333333333333337</v>
      </c>
      <c r="K66" s="365">
        <f t="shared" si="33"/>
        <v>-0.94116199076560458</v>
      </c>
      <c r="M66" s="342">
        <v>0</v>
      </c>
      <c r="N66" s="343">
        <v>0</v>
      </c>
      <c r="O66" s="344">
        <v>0</v>
      </c>
      <c r="P66" s="345">
        <f t="shared" si="38"/>
        <v>0</v>
      </c>
      <c r="Q66" s="382">
        <f>P65+P66</f>
        <v>1323.5758699999999</v>
      </c>
      <c r="R66" s="382">
        <v>0</v>
      </c>
      <c r="S66" s="1163"/>
      <c r="T66" s="364">
        <f t="shared" si="39"/>
        <v>-1</v>
      </c>
      <c r="U66" s="365">
        <f t="shared" si="34"/>
        <v>-1</v>
      </c>
      <c r="AD66" s="342">
        <f t="shared" si="27"/>
        <v>17</v>
      </c>
      <c r="AE66" s="399">
        <f t="shared" si="28"/>
        <v>1.94E-4</v>
      </c>
      <c r="AF66" s="402">
        <f t="shared" si="29"/>
        <v>6.9399999999999996E-4</v>
      </c>
      <c r="AG66" s="345">
        <f t="shared" si="40"/>
        <v>17.189342</v>
      </c>
      <c r="AH66" s="382">
        <f>AG65+AG66</f>
        <v>21843.461836000002</v>
      </c>
      <c r="AI66" s="382">
        <f t="shared" si="30"/>
        <v>1</v>
      </c>
      <c r="AJ66" s="1163"/>
      <c r="AK66" s="364">
        <f t="shared" si="41"/>
        <v>-0.9</v>
      </c>
      <c r="AL66" s="365">
        <f t="shared" si="35"/>
        <v>-0.94734006379834645</v>
      </c>
      <c r="BN66" s="811"/>
      <c r="BO66" s="811"/>
      <c r="BP66" s="811"/>
      <c r="BQ66" s="811"/>
      <c r="BR66" s="811"/>
      <c r="BS66" s="811"/>
      <c r="BT66" s="811"/>
      <c r="BU66" s="811"/>
      <c r="BV66" s="811"/>
      <c r="BW66" s="811"/>
      <c r="BX66" s="811"/>
    </row>
    <row r="67" spans="1:76" ht="14.25" x14ac:dyDescent="0.65">
      <c r="A67" s="1161"/>
      <c r="B67" s="341" t="s">
        <v>480</v>
      </c>
      <c r="C67" s="342">
        <v>300</v>
      </c>
      <c r="D67" s="343">
        <v>4.1000000000000003E-3</v>
      </c>
      <c r="E67" s="344">
        <v>1.2699999999999999E-2</v>
      </c>
      <c r="F67" s="345">
        <f t="shared" si="36"/>
        <v>303.4803</v>
      </c>
      <c r="G67" s="382">
        <f>F67+F66+F65</f>
        <v>20823.366266000001</v>
      </c>
      <c r="H67" s="382">
        <v>1</v>
      </c>
      <c r="I67" s="1163"/>
      <c r="J67" s="391">
        <f t="shared" si="37"/>
        <v>-0.99029126213592233</v>
      </c>
      <c r="K67" s="365">
        <f t="shared" si="33"/>
        <v>-0.98179976668604951</v>
      </c>
      <c r="M67" s="342">
        <v>548</v>
      </c>
      <c r="N67" s="343">
        <v>5.0699999999999999E-3</v>
      </c>
      <c r="O67" s="344">
        <v>0.02</v>
      </c>
      <c r="P67" s="345">
        <f t="shared" si="38"/>
        <v>553.44195999999999</v>
      </c>
      <c r="Q67" s="382">
        <f>P67+P66+P65</f>
        <v>1877.0178299999998</v>
      </c>
      <c r="R67" s="382">
        <v>6</v>
      </c>
      <c r="S67" s="1163"/>
      <c r="T67" s="364">
        <f t="shared" si="39"/>
        <v>-0.90322580645161288</v>
      </c>
      <c r="U67" s="365">
        <f t="shared" si="34"/>
        <v>-0.75242527446994889</v>
      </c>
      <c r="AD67" s="342">
        <f t="shared" si="27"/>
        <v>848</v>
      </c>
      <c r="AE67" s="399">
        <f t="shared" si="28"/>
        <v>9.1700000000000011E-3</v>
      </c>
      <c r="AF67" s="402">
        <f t="shared" si="29"/>
        <v>3.27E-2</v>
      </c>
      <c r="AG67" s="345">
        <f t="shared" si="40"/>
        <v>856.92225999999994</v>
      </c>
      <c r="AH67" s="382">
        <f>AG67+AG66+AG65</f>
        <v>22700.384096000002</v>
      </c>
      <c r="AI67" s="382">
        <f t="shared" si="30"/>
        <v>7</v>
      </c>
      <c r="AJ67" s="1163"/>
      <c r="AK67" s="364">
        <f t="shared" si="41"/>
        <v>-0.95757575757575752</v>
      </c>
      <c r="AL67" s="365">
        <f t="shared" si="35"/>
        <v>-0.95468413185497347</v>
      </c>
    </row>
    <row r="68" spans="1:76" ht="14.25" x14ac:dyDescent="0.65">
      <c r="A68" s="1161"/>
      <c r="B68" s="341" t="s">
        <v>483</v>
      </c>
      <c r="C68" s="342">
        <f>C67+C66</f>
        <v>317</v>
      </c>
      <c r="D68" s="343">
        <f>D67+D66</f>
        <v>4.2940000000000001E-3</v>
      </c>
      <c r="E68" s="344">
        <f>E67+E66</f>
        <v>1.3394E-2</v>
      </c>
      <c r="F68" s="345">
        <f t="shared" si="36"/>
        <v>320.66964200000001</v>
      </c>
      <c r="G68" s="382">
        <f>F68+F65</f>
        <v>20823.366266000001</v>
      </c>
      <c r="H68" s="382">
        <f>H67+H66</f>
        <v>2</v>
      </c>
      <c r="I68" s="1163"/>
      <c r="J68" s="391">
        <f t="shared" si="37"/>
        <v>-0.98165137614678899</v>
      </c>
      <c r="K68" s="365">
        <f t="shared" si="33"/>
        <v>-0.98110003027169446</v>
      </c>
      <c r="M68" s="342">
        <f>M67+M66</f>
        <v>548</v>
      </c>
      <c r="N68" s="343">
        <f>N67+N66</f>
        <v>5.0699999999999999E-3</v>
      </c>
      <c r="O68" s="344">
        <f>O67+O66</f>
        <v>0.02</v>
      </c>
      <c r="P68" s="345">
        <f t="shared" si="38"/>
        <v>553.44195999999999</v>
      </c>
      <c r="Q68" s="382">
        <f>P68+P65</f>
        <v>1877.0178299999998</v>
      </c>
      <c r="R68" s="382">
        <f>R67+R66</f>
        <v>6</v>
      </c>
      <c r="S68" s="1163"/>
      <c r="T68" s="364">
        <f t="shared" si="39"/>
        <v>-0.90909090909090906</v>
      </c>
      <c r="U68" s="365">
        <f t="shared" si="34"/>
        <v>-0.75616385125983099</v>
      </c>
      <c r="AD68" s="342">
        <f t="shared" si="27"/>
        <v>865</v>
      </c>
      <c r="AE68" s="399">
        <f t="shared" si="28"/>
        <v>9.3640000000000008E-3</v>
      </c>
      <c r="AF68" s="402">
        <f t="shared" si="29"/>
        <v>3.3394E-2</v>
      </c>
      <c r="AG68" s="345">
        <f t="shared" si="40"/>
        <v>874.11160200000006</v>
      </c>
      <c r="AH68" s="382">
        <f>AG68+AG65</f>
        <v>22700.384096000002</v>
      </c>
      <c r="AI68" s="382">
        <f t="shared" si="30"/>
        <v>8</v>
      </c>
      <c r="AJ68" s="1163"/>
      <c r="AK68" s="364">
        <f t="shared" si="41"/>
        <v>-0.95428571428571429</v>
      </c>
      <c r="AL68" s="365">
        <f t="shared" si="35"/>
        <v>-0.95455951071173983</v>
      </c>
      <c r="BL68" t="s">
        <v>551</v>
      </c>
    </row>
    <row r="69" spans="1:76" ht="14.25" x14ac:dyDescent="0.65">
      <c r="A69" s="1161"/>
      <c r="B69" s="341" t="s">
        <v>486</v>
      </c>
      <c r="C69" s="342">
        <f>C68+C65</f>
        <v>20595</v>
      </c>
      <c r="D69" s="384">
        <f>D68+D65</f>
        <v>0.26637699999999997</v>
      </c>
      <c r="E69" s="385">
        <f>E68+E65</f>
        <v>0.83361399999999997</v>
      </c>
      <c r="F69" s="345">
        <f t="shared" si="36"/>
        <v>20823.366266000001</v>
      </c>
      <c r="G69" s="382">
        <f>F69</f>
        <v>20823.366266000001</v>
      </c>
      <c r="H69" s="382">
        <f>H68+H65</f>
        <v>371</v>
      </c>
      <c r="I69" s="1163"/>
      <c r="J69" s="391">
        <f t="shared" si="37"/>
        <v>-0.36689419795221845</v>
      </c>
      <c r="K69" s="365">
        <f t="shared" si="33"/>
        <v>-0.40210333670407161</v>
      </c>
      <c r="M69" s="342">
        <f>M68+M65</f>
        <v>1853</v>
      </c>
      <c r="N69" s="384">
        <f>N68+N65</f>
        <v>0.18060999999999997</v>
      </c>
      <c r="O69" s="385">
        <f>O68+O65</f>
        <v>7.1550000000000002E-2</v>
      </c>
      <c r="P69" s="345">
        <f t="shared" si="38"/>
        <v>1877.01783</v>
      </c>
      <c r="Q69" s="382">
        <f>P69</f>
        <v>1877.01783</v>
      </c>
      <c r="R69" s="382">
        <f>R68+R65</f>
        <v>159</v>
      </c>
      <c r="S69" s="1163"/>
      <c r="T69" s="364">
        <f t="shared" si="39"/>
        <v>-0.23923444976076555</v>
      </c>
      <c r="U69" s="365">
        <f t="shared" si="34"/>
        <v>-0.54223365971371851</v>
      </c>
      <c r="AD69" s="342">
        <f t="shared" si="27"/>
        <v>22448</v>
      </c>
      <c r="AE69" s="399">
        <f t="shared" si="28"/>
        <v>0.44698699999999991</v>
      </c>
      <c r="AF69" s="402">
        <f t="shared" si="29"/>
        <v>0.90516399999999997</v>
      </c>
      <c r="AG69" s="345">
        <f t="shared" si="40"/>
        <v>22700.384096000002</v>
      </c>
      <c r="AH69" s="382">
        <f>AG69</f>
        <v>22700.384096000002</v>
      </c>
      <c r="AI69" s="382">
        <f t="shared" si="30"/>
        <v>530</v>
      </c>
      <c r="AJ69" s="1163"/>
      <c r="AK69" s="364">
        <f t="shared" si="41"/>
        <v>-0.33333333333333331</v>
      </c>
      <c r="AL69" s="365">
        <f t="shared" si="35"/>
        <v>-0.41686358364648496</v>
      </c>
    </row>
    <row r="70" spans="1:76" ht="14.25" x14ac:dyDescent="0.65">
      <c r="A70" s="1161"/>
      <c r="B70" s="341" t="s">
        <v>10</v>
      </c>
      <c r="C70" s="342">
        <v>4740</v>
      </c>
      <c r="D70" s="343">
        <v>6.0400000000000002E-2</v>
      </c>
      <c r="E70" s="344">
        <v>0.191</v>
      </c>
      <c r="F70" s="345">
        <f t="shared" si="36"/>
        <v>4792.3062</v>
      </c>
      <c r="G70" s="382">
        <f>F69+F70</f>
        <v>25615.672466</v>
      </c>
      <c r="H70" s="382">
        <v>53</v>
      </c>
      <c r="I70" s="1163"/>
      <c r="J70" s="391">
        <f t="shared" si="37"/>
        <v>0.26190476190476192</v>
      </c>
      <c r="K70" s="365">
        <f t="shared" si="33"/>
        <v>1.5479964919435127</v>
      </c>
      <c r="M70" s="342">
        <v>8770</v>
      </c>
      <c r="N70" s="343">
        <v>0.114</v>
      </c>
      <c r="O70" s="344">
        <v>0.35899999999999999</v>
      </c>
      <c r="P70" s="345">
        <f t="shared" si="38"/>
        <v>8868.3269999999993</v>
      </c>
      <c r="Q70" s="382">
        <f>P69+P70</f>
        <v>10745.34483</v>
      </c>
      <c r="R70" s="382">
        <v>240</v>
      </c>
      <c r="S70" s="1163"/>
      <c r="T70" s="364">
        <f t="shared" si="39"/>
        <v>-0.18367346938775511</v>
      </c>
      <c r="U70" s="365">
        <f t="shared" si="34"/>
        <v>8.7940984444784029E-2</v>
      </c>
      <c r="AD70" s="342">
        <f t="shared" si="27"/>
        <v>13510</v>
      </c>
      <c r="AE70" s="399">
        <f t="shared" si="28"/>
        <v>0.1744</v>
      </c>
      <c r="AF70" s="402">
        <f t="shared" si="29"/>
        <v>0.55000000000000004</v>
      </c>
      <c r="AG70" s="345">
        <f t="shared" si="40"/>
        <v>13660.6332</v>
      </c>
      <c r="AH70" s="382">
        <f>AG69+AG70</f>
        <v>36361.017296000005</v>
      </c>
      <c r="AI70" s="382">
        <f t="shared" si="30"/>
        <v>293</v>
      </c>
      <c r="AJ70" s="1163"/>
      <c r="AK70" s="364">
        <f t="shared" si="41"/>
        <v>-0.12797619047619047</v>
      </c>
      <c r="AL70" s="365">
        <f t="shared" si="35"/>
        <v>0.36166629528258831</v>
      </c>
    </row>
    <row r="71" spans="1:76" ht="14.25" x14ac:dyDescent="0.65">
      <c r="A71" s="1161"/>
      <c r="B71" s="341" t="s">
        <v>498</v>
      </c>
      <c r="C71" s="342">
        <v>0</v>
      </c>
      <c r="D71" s="343">
        <v>0</v>
      </c>
      <c r="E71" s="344">
        <v>0</v>
      </c>
      <c r="F71" s="345">
        <f t="shared" si="36"/>
        <v>0</v>
      </c>
      <c r="G71" s="382">
        <f>SUM(F69:F71)</f>
        <v>25615.672466</v>
      </c>
      <c r="H71" s="382">
        <v>0</v>
      </c>
      <c r="I71" s="1163"/>
      <c r="J71" s="391" t="e">
        <f t="shared" si="37"/>
        <v>#DIV/0!</v>
      </c>
      <c r="K71" s="365" t="e">
        <f t="shared" si="33"/>
        <v>#DIV/0!</v>
      </c>
      <c r="M71" s="342">
        <v>346</v>
      </c>
      <c r="N71" s="343">
        <v>4.1099999999999999E-3</v>
      </c>
      <c r="O71" s="344">
        <v>1.4999999999999999E-2</v>
      </c>
      <c r="P71" s="345">
        <f t="shared" si="38"/>
        <v>350.09008</v>
      </c>
      <c r="Q71" s="382">
        <f>SUM(P69:P71)</f>
        <v>11095.43491</v>
      </c>
      <c r="R71" s="382">
        <v>1773</v>
      </c>
      <c r="S71" s="1163"/>
      <c r="T71" s="364">
        <f t="shared" si="39"/>
        <v>-0.68007939372067849</v>
      </c>
      <c r="U71" s="365">
        <f t="shared" si="34"/>
        <v>-0.6085597363042341</v>
      </c>
      <c r="AD71" s="342">
        <f t="shared" si="27"/>
        <v>346</v>
      </c>
      <c r="AE71" s="399">
        <f t="shared" si="28"/>
        <v>4.1099999999999999E-3</v>
      </c>
      <c r="AF71" s="402">
        <f t="shared" si="29"/>
        <v>1.4999999999999999E-2</v>
      </c>
      <c r="AG71" s="345">
        <f t="shared" si="40"/>
        <v>350.09008</v>
      </c>
      <c r="AH71" s="382">
        <f>SUM(AG69:AG71)</f>
        <v>36711.107376000007</v>
      </c>
      <c r="AI71" s="382">
        <f t="shared" si="30"/>
        <v>1773</v>
      </c>
      <c r="AJ71" s="1163"/>
      <c r="AK71" s="364">
        <f>(AI71-AI58)/AI58</f>
        <v>-0.68007939372067849</v>
      </c>
      <c r="AL71" s="365">
        <f t="shared" si="35"/>
        <v>-0.6085597363042341</v>
      </c>
    </row>
    <row r="72" spans="1:76" ht="15" thickBot="1" x14ac:dyDescent="0.8">
      <c r="A72" s="1227"/>
      <c r="B72" s="341" t="s">
        <v>500</v>
      </c>
      <c r="C72" s="350">
        <v>177</v>
      </c>
      <c r="D72" s="351">
        <v>1.8600000000000001E-3</v>
      </c>
      <c r="E72" s="352">
        <v>6.1700000000000001E-3</v>
      </c>
      <c r="F72" s="386">
        <f t="shared" si="36"/>
        <v>178.68713</v>
      </c>
      <c r="G72" s="382">
        <f>SUM(F69:F72)</f>
        <v>25794.359595999998</v>
      </c>
      <c r="H72" s="382">
        <v>14</v>
      </c>
      <c r="I72" s="1163"/>
      <c r="J72" s="392">
        <f t="shared" si="37"/>
        <v>0.55555555555555558</v>
      </c>
      <c r="K72" s="369">
        <f t="shared" si="33"/>
        <v>0.17914518025162413</v>
      </c>
      <c r="M72" s="350">
        <v>678</v>
      </c>
      <c r="N72" s="351">
        <v>4.5999999999999999E-3</v>
      </c>
      <c r="O72" s="352">
        <v>1.6500000000000001E-2</v>
      </c>
      <c r="P72" s="386">
        <f t="shared" si="38"/>
        <v>682.5012999999999</v>
      </c>
      <c r="Q72" s="382">
        <f>SUM(P69:P72)</f>
        <v>11777.93621</v>
      </c>
      <c r="R72" s="382">
        <v>43</v>
      </c>
      <c r="S72" s="1163"/>
      <c r="T72" s="368">
        <f>(R72-R59)/R59</f>
        <v>-0.48192771084337349</v>
      </c>
      <c r="U72" s="369">
        <f t="shared" si="34"/>
        <v>-0.36063748621087394</v>
      </c>
      <c r="AD72" s="350">
        <f t="shared" si="27"/>
        <v>855</v>
      </c>
      <c r="AE72" s="400">
        <f t="shared" si="28"/>
        <v>6.4600000000000005E-3</v>
      </c>
      <c r="AF72" s="403">
        <f t="shared" si="29"/>
        <v>2.2670000000000003E-2</v>
      </c>
      <c r="AG72" s="386">
        <f t="shared" si="40"/>
        <v>861.18843000000004</v>
      </c>
      <c r="AH72" s="382">
        <f>SUM(AG69:AG72)</f>
        <v>37572.295806000009</v>
      </c>
      <c r="AI72" s="382">
        <f t="shared" si="30"/>
        <v>57</v>
      </c>
      <c r="AJ72" s="1163"/>
      <c r="AK72" s="368">
        <f>(AI72-AI59)/AI59</f>
        <v>-0.38043478260869568</v>
      </c>
      <c r="AL72" s="369">
        <f t="shared" si="35"/>
        <v>-0.29353520822299978</v>
      </c>
    </row>
    <row r="73" spans="1:76" ht="15" thickBot="1" x14ac:dyDescent="0.75">
      <c r="A73" s="354" t="s">
        <v>3</v>
      </c>
      <c r="B73" s="355">
        <f>A61</f>
        <v>2020</v>
      </c>
      <c r="C73" s="356">
        <f>SUM(C69:C72)</f>
        <v>25512</v>
      </c>
      <c r="D73" s="387">
        <f>SUM(D69:D72)</f>
        <v>0.32863699999999996</v>
      </c>
      <c r="E73" s="387">
        <f>SUM(E69:E72)</f>
        <v>1.0307839999999999</v>
      </c>
      <c r="F73" s="357">
        <f t="shared" si="36"/>
        <v>25794.359595999998</v>
      </c>
      <c r="G73" s="357">
        <f>G72</f>
        <v>25794.359595999998</v>
      </c>
      <c r="H73" s="357">
        <f>SUM(H69:H72)</f>
        <v>438</v>
      </c>
      <c r="I73" s="1164"/>
      <c r="J73" s="372">
        <f t="shared" si="37"/>
        <v>-0.31240188383045525</v>
      </c>
      <c r="K73" s="373">
        <f t="shared" si="33"/>
        <v>-0.30020830937938736</v>
      </c>
      <c r="M73" s="356">
        <f>SUM(M69:M72)</f>
        <v>11647</v>
      </c>
      <c r="N73" s="387">
        <f>SUM(N69:N72)</f>
        <v>0.30331999999999998</v>
      </c>
      <c r="O73" s="387">
        <f>SUM(O69:O72)</f>
        <v>0.46205000000000002</v>
      </c>
      <c r="P73" s="357">
        <f>M73+N73*$N$6+O73*$O$6</f>
        <v>11777.93621</v>
      </c>
      <c r="Q73" s="357">
        <f>Q72</f>
        <v>11777.93621</v>
      </c>
      <c r="R73" s="357">
        <f>SUM(R69:R72)</f>
        <v>2215</v>
      </c>
      <c r="S73" s="1164"/>
      <c r="T73" s="372">
        <f>(R73-R60)/R60</f>
        <v>-0.63854438642297651</v>
      </c>
      <c r="U73" s="373">
        <f t="shared" si="34"/>
        <v>-0.17136719244552773</v>
      </c>
      <c r="AD73" s="356">
        <f t="shared" si="27"/>
        <v>37159</v>
      </c>
      <c r="AE73" s="715">
        <f t="shared" si="28"/>
        <v>0.63195699999999988</v>
      </c>
      <c r="AF73" s="716">
        <f t="shared" si="29"/>
        <v>1.492834</v>
      </c>
      <c r="AG73" s="357">
        <f>AD73+AE73*$AE$6+AF73*$AF$6</f>
        <v>37572.295806000002</v>
      </c>
      <c r="AH73" s="357">
        <f>AH72</f>
        <v>37572.295806000009</v>
      </c>
      <c r="AI73" s="357">
        <f t="shared" si="30"/>
        <v>2653</v>
      </c>
      <c r="AJ73" s="1164"/>
      <c r="AK73" s="372">
        <f>(AI73-AI60)/AI60</f>
        <v>-0.6078344419807834</v>
      </c>
      <c r="AL73" s="373">
        <f t="shared" si="35"/>
        <v>-0.26435214805447493</v>
      </c>
    </row>
    <row r="74" spans="1:76" ht="14.25" x14ac:dyDescent="0.65">
      <c r="A74" s="1161">
        <v>2021</v>
      </c>
      <c r="B74" s="333" t="s">
        <v>469</v>
      </c>
      <c r="C74" s="334">
        <v>399</v>
      </c>
      <c r="D74" s="335">
        <v>0</v>
      </c>
      <c r="E74" s="336">
        <v>0</v>
      </c>
      <c r="F74" s="337">
        <v>510</v>
      </c>
      <c r="G74" s="381">
        <f>F74</f>
        <v>510</v>
      </c>
      <c r="H74" s="381">
        <v>5</v>
      </c>
      <c r="I74" s="1165" t="str">
        <f>"Milli áranna "&amp; $A61 &amp;" og "&amp; $A74</f>
        <v>Milli áranna 2020 og 2021</v>
      </c>
      <c r="J74" s="390" t="e">
        <f t="shared" ref="J74:J86" si="42">(H74-H61)/H61</f>
        <v>#DIV/0!</v>
      </c>
      <c r="K74" s="361" t="e">
        <f t="shared" ref="K74:K86" si="43">(F74-F61)/F61</f>
        <v>#DIV/0!</v>
      </c>
      <c r="M74" s="334">
        <v>8</v>
      </c>
      <c r="N74" s="335">
        <v>0</v>
      </c>
      <c r="O74" s="336">
        <v>0</v>
      </c>
      <c r="P74" s="337">
        <v>10</v>
      </c>
      <c r="Q74" s="381">
        <f>P74</f>
        <v>10</v>
      </c>
      <c r="R74" s="381">
        <v>1</v>
      </c>
      <c r="S74" s="1165" t="str">
        <f>"Milli áranna "&amp; $A61 &amp;" og "&amp; $A74</f>
        <v>Milli áranna 2020 og 2021</v>
      </c>
      <c r="T74" s="360" t="e">
        <f t="shared" ref="T74:T84" si="44">(R74-R61)/R61</f>
        <v>#DIV/0!</v>
      </c>
      <c r="U74" s="361" t="e">
        <f t="shared" ref="U74:U86" si="45">(P74-P61)/P61</f>
        <v>#DIV/0!</v>
      </c>
      <c r="AD74" s="334">
        <f t="shared" ref="AD74:AD86" si="46">M74+C74</f>
        <v>407</v>
      </c>
      <c r="AE74" s="398">
        <f t="shared" ref="AE74:AE86" si="47">N74+D74</f>
        <v>0</v>
      </c>
      <c r="AF74" s="401">
        <f t="shared" ref="AF74:AG86" si="48">O74+E74</f>
        <v>0</v>
      </c>
      <c r="AG74" s="337">
        <f t="shared" si="48"/>
        <v>520</v>
      </c>
      <c r="AH74" s="381">
        <f>AG74</f>
        <v>520</v>
      </c>
      <c r="AI74" s="381">
        <f t="shared" ref="AI74:AI86" si="49">R74+H74</f>
        <v>6</v>
      </c>
      <c r="AJ74" s="1165" t="str">
        <f>"Milli áranna "&amp; $A61 &amp;" og "&amp; $A74</f>
        <v>Milli áranna 2020 og 2021</v>
      </c>
      <c r="AK74" s="360" t="e">
        <f t="shared" ref="AK74:AK83" si="50">(AI74-AI61)/AI61</f>
        <v>#DIV/0!</v>
      </c>
      <c r="AL74" s="361" t="e">
        <f t="shared" ref="AL74:AL86" si="51">(AG74-AG61)/AG61</f>
        <v>#DIV/0!</v>
      </c>
    </row>
    <row r="75" spans="1:76" ht="14.25" x14ac:dyDescent="0.65">
      <c r="A75" s="1161"/>
      <c r="B75" s="341" t="s">
        <v>471</v>
      </c>
      <c r="C75" s="342">
        <v>11240</v>
      </c>
      <c r="D75" s="343">
        <v>0</v>
      </c>
      <c r="E75" s="344">
        <v>0</v>
      </c>
      <c r="F75" s="345">
        <v>14200</v>
      </c>
      <c r="G75" s="382">
        <f>F75+F74</f>
        <v>14710</v>
      </c>
      <c r="H75" s="382">
        <v>288</v>
      </c>
      <c r="I75" s="1163"/>
      <c r="J75" s="391">
        <f t="shared" si="42"/>
        <v>7.8651685393258425E-2</v>
      </c>
      <c r="K75" s="365">
        <f t="shared" si="43"/>
        <v>-0.26079589377324663</v>
      </c>
      <c r="M75" s="342">
        <v>153</v>
      </c>
      <c r="N75" s="343">
        <v>0</v>
      </c>
      <c r="O75" s="344">
        <v>0</v>
      </c>
      <c r="P75" s="345">
        <v>190</v>
      </c>
      <c r="Q75" s="382">
        <f>P75+P74</f>
        <v>200</v>
      </c>
      <c r="R75" s="382">
        <v>10</v>
      </c>
      <c r="S75" s="1163"/>
      <c r="T75" s="364">
        <f t="shared" si="44"/>
        <v>2.3333333333333335</v>
      </c>
      <c r="U75" s="365">
        <f t="shared" si="45"/>
        <v>-8.3148181542643765E-2</v>
      </c>
      <c r="AD75" s="342">
        <f t="shared" si="46"/>
        <v>11393</v>
      </c>
      <c r="AE75" s="399">
        <f t="shared" si="47"/>
        <v>0</v>
      </c>
      <c r="AF75" s="402">
        <f t="shared" si="48"/>
        <v>0</v>
      </c>
      <c r="AG75" s="345">
        <f t="shared" si="48"/>
        <v>14390</v>
      </c>
      <c r="AH75" s="382">
        <f>AG75+AG74</f>
        <v>14910</v>
      </c>
      <c r="AI75" s="382">
        <f t="shared" si="49"/>
        <v>298</v>
      </c>
      <c r="AJ75" s="1163"/>
      <c r="AK75" s="364">
        <f t="shared" si="50"/>
        <v>0.1037037037037037</v>
      </c>
      <c r="AL75" s="365">
        <f t="shared" si="51"/>
        <v>-0.25889992958555369</v>
      </c>
    </row>
    <row r="76" spans="1:76" ht="14.25" x14ac:dyDescent="0.65">
      <c r="A76" s="1161"/>
      <c r="B76" s="341" t="s">
        <v>473</v>
      </c>
      <c r="C76" s="342">
        <v>1000</v>
      </c>
      <c r="D76" s="343">
        <v>0</v>
      </c>
      <c r="E76" s="344">
        <v>0</v>
      </c>
      <c r="F76" s="345">
        <v>1270</v>
      </c>
      <c r="G76" s="382">
        <f>F76+F75+F74</f>
        <v>15980</v>
      </c>
      <c r="H76" s="382">
        <v>108</v>
      </c>
      <c r="I76" s="1163"/>
      <c r="J76" s="391">
        <f t="shared" si="42"/>
        <v>0.08</v>
      </c>
      <c r="K76" s="365">
        <f t="shared" si="43"/>
        <v>3.7448712660934275E-2</v>
      </c>
      <c r="M76" s="342">
        <v>0.1</v>
      </c>
      <c r="N76" s="343">
        <v>0</v>
      </c>
      <c r="O76" s="344">
        <v>0</v>
      </c>
      <c r="P76" s="345">
        <v>0.1</v>
      </c>
      <c r="Q76" s="382">
        <f>P76+P75+P74</f>
        <v>200.1</v>
      </c>
      <c r="R76" s="382">
        <v>1</v>
      </c>
      <c r="S76" s="1163"/>
      <c r="T76" s="364" t="e">
        <f>(R76-R63)/R63</f>
        <v>#DIV/0!</v>
      </c>
      <c r="U76" s="365" t="e">
        <f t="shared" si="45"/>
        <v>#DIV/0!</v>
      </c>
      <c r="AD76" s="342">
        <f t="shared" si="46"/>
        <v>1000.1</v>
      </c>
      <c r="AE76" s="399">
        <f t="shared" si="47"/>
        <v>0</v>
      </c>
      <c r="AF76" s="402">
        <f t="shared" si="48"/>
        <v>0</v>
      </c>
      <c r="AG76" s="345">
        <f t="shared" si="48"/>
        <v>1270.0999999999999</v>
      </c>
      <c r="AH76" s="382">
        <f>AG76+AG75+AG74</f>
        <v>16180.1</v>
      </c>
      <c r="AI76" s="382">
        <f t="shared" si="49"/>
        <v>109</v>
      </c>
      <c r="AJ76" s="1163"/>
      <c r="AK76" s="364">
        <f t="shared" si="50"/>
        <v>0.09</v>
      </c>
      <c r="AL76" s="365">
        <f t="shared" si="51"/>
        <v>3.7530401535946868E-2</v>
      </c>
    </row>
    <row r="77" spans="1:76" ht="14.25" x14ac:dyDescent="0.65">
      <c r="A77" s="1161"/>
      <c r="B77" s="341" t="s">
        <v>475</v>
      </c>
      <c r="C77" s="342">
        <v>17.5</v>
      </c>
      <c r="D77" s="343">
        <v>0</v>
      </c>
      <c r="E77" s="344">
        <v>0</v>
      </c>
      <c r="F77" s="345">
        <v>18</v>
      </c>
      <c r="G77" s="382">
        <f>SUM(F74:F77)</f>
        <v>15998</v>
      </c>
      <c r="H77" s="382">
        <v>1</v>
      </c>
      <c r="I77" s="1163"/>
      <c r="J77" s="391">
        <f t="shared" si="42"/>
        <v>-0.5</v>
      </c>
      <c r="K77" s="365">
        <f t="shared" si="43"/>
        <v>-0.73795206980304651</v>
      </c>
      <c r="M77" s="342">
        <v>860</v>
      </c>
      <c r="N77" s="343">
        <v>0</v>
      </c>
      <c r="O77" s="344">
        <v>0</v>
      </c>
      <c r="P77" s="345">
        <v>1110</v>
      </c>
      <c r="Q77" s="382">
        <f>SUM(P74:P77)</f>
        <v>1310.0999999999999</v>
      </c>
      <c r="R77" s="382">
        <v>149</v>
      </c>
      <c r="S77" s="1163"/>
      <c r="T77" s="364">
        <f t="shared" si="44"/>
        <v>-6.6666666666666671E-3</v>
      </c>
      <c r="U77" s="365">
        <f t="shared" si="45"/>
        <v>-5.6837268048856105E-3</v>
      </c>
      <c r="AD77" s="342">
        <f t="shared" si="46"/>
        <v>877.5</v>
      </c>
      <c r="AE77" s="399">
        <f t="shared" si="47"/>
        <v>0</v>
      </c>
      <c r="AF77" s="402">
        <f t="shared" si="48"/>
        <v>0</v>
      </c>
      <c r="AG77" s="345">
        <f t="shared" si="48"/>
        <v>1128</v>
      </c>
      <c r="AH77" s="382">
        <f>SUM(AG74:AG77)</f>
        <v>17308.099999999999</v>
      </c>
      <c r="AI77" s="382">
        <f t="shared" si="49"/>
        <v>150</v>
      </c>
      <c r="AJ77" s="1163"/>
      <c r="AK77" s="364">
        <f t="shared" si="50"/>
        <v>-1.3157894736842105E-2</v>
      </c>
      <c r="AL77" s="365">
        <f t="shared" si="51"/>
        <v>-4.812915844987499E-2</v>
      </c>
    </row>
    <row r="78" spans="1:76" ht="14.25" x14ac:dyDescent="0.65">
      <c r="A78" s="1161"/>
      <c r="B78" s="375" t="s">
        <v>477</v>
      </c>
      <c r="C78" s="342">
        <f>SUM(C74:C77)</f>
        <v>12656.5</v>
      </c>
      <c r="D78" s="343">
        <v>0</v>
      </c>
      <c r="E78" s="344">
        <v>0</v>
      </c>
      <c r="F78" s="345">
        <f>SUM(F74:F77)</f>
        <v>15998</v>
      </c>
      <c r="G78" s="382">
        <f>SUM(F78)</f>
        <v>15998</v>
      </c>
      <c r="H78" s="382">
        <f>SUM(H74:H77)</f>
        <v>402</v>
      </c>
      <c r="I78" s="1163"/>
      <c r="J78" s="391">
        <f t="shared" si="42"/>
        <v>8.943089430894309E-2</v>
      </c>
      <c r="K78" s="365">
        <f t="shared" si="43"/>
        <v>-0.21971239718422711</v>
      </c>
      <c r="M78" s="342">
        <f>SUM(M74:M77)</f>
        <v>1021.1</v>
      </c>
      <c r="N78" s="343">
        <v>0</v>
      </c>
      <c r="O78" s="344">
        <v>0</v>
      </c>
      <c r="P78" s="345">
        <f>SUM(P74:P77)</f>
        <v>1310.0999999999999</v>
      </c>
      <c r="Q78" s="382">
        <f>SUM(P78)</f>
        <v>1310.0999999999999</v>
      </c>
      <c r="R78" s="382">
        <f>SUM(R74:R77)</f>
        <v>161</v>
      </c>
      <c r="S78" s="1163"/>
      <c r="T78" s="364">
        <f t="shared" si="44"/>
        <v>5.2287581699346407E-2</v>
      </c>
      <c r="U78" s="365">
        <f t="shared" si="45"/>
        <v>-1.0181411058815985E-2</v>
      </c>
      <c r="AD78" s="342">
        <f t="shared" si="46"/>
        <v>13677.6</v>
      </c>
      <c r="AE78" s="399">
        <f t="shared" si="47"/>
        <v>0</v>
      </c>
      <c r="AF78" s="402">
        <f t="shared" si="48"/>
        <v>0</v>
      </c>
      <c r="AG78" s="345">
        <f t="shared" si="48"/>
        <v>17308.099999999999</v>
      </c>
      <c r="AH78" s="382">
        <f>SUM(AG78)</f>
        <v>17308.099999999999</v>
      </c>
      <c r="AI78" s="382">
        <f t="shared" si="49"/>
        <v>563</v>
      </c>
      <c r="AJ78" s="1163"/>
      <c r="AK78" s="364">
        <f t="shared" si="50"/>
        <v>7.8544061302681989E-2</v>
      </c>
      <c r="AL78" s="365">
        <f t="shared" si="51"/>
        <v>-0.20700614341005955</v>
      </c>
    </row>
    <row r="79" spans="1:76" ht="14.25" x14ac:dyDescent="0.65">
      <c r="A79" s="1161"/>
      <c r="B79" s="341" t="s">
        <v>479</v>
      </c>
      <c r="C79" s="342">
        <v>0</v>
      </c>
      <c r="D79" s="343">
        <v>0</v>
      </c>
      <c r="E79" s="344">
        <v>0</v>
      </c>
      <c r="F79" s="345">
        <v>0</v>
      </c>
      <c r="G79" s="382">
        <f>F78+F79</f>
        <v>15998</v>
      </c>
      <c r="H79" s="382">
        <v>0</v>
      </c>
      <c r="I79" s="1163"/>
      <c r="J79" s="391">
        <f t="shared" si="42"/>
        <v>-1</v>
      </c>
      <c r="K79" s="365">
        <f t="shared" si="43"/>
        <v>-1</v>
      </c>
      <c r="M79" s="342">
        <v>35.700000000000003</v>
      </c>
      <c r="N79" s="343">
        <v>0</v>
      </c>
      <c r="O79" s="344">
        <v>0</v>
      </c>
      <c r="P79" s="345">
        <v>1900</v>
      </c>
      <c r="Q79" s="382">
        <f>P78+P79</f>
        <v>3210.1</v>
      </c>
      <c r="R79" s="382">
        <v>1</v>
      </c>
      <c r="S79" s="1163"/>
      <c r="T79" s="364" t="e">
        <f t="shared" si="44"/>
        <v>#DIV/0!</v>
      </c>
      <c r="U79" s="365" t="e">
        <f t="shared" si="45"/>
        <v>#DIV/0!</v>
      </c>
      <c r="AD79" s="342">
        <f t="shared" si="46"/>
        <v>35.700000000000003</v>
      </c>
      <c r="AE79" s="399">
        <f t="shared" si="47"/>
        <v>0</v>
      </c>
      <c r="AF79" s="402">
        <f t="shared" si="48"/>
        <v>0</v>
      </c>
      <c r="AG79" s="345">
        <f t="shared" si="48"/>
        <v>1900</v>
      </c>
      <c r="AH79" s="382">
        <f>AG78+AG79</f>
        <v>19208.099999999999</v>
      </c>
      <c r="AI79" s="382">
        <f t="shared" si="49"/>
        <v>1</v>
      </c>
      <c r="AJ79" s="1163"/>
      <c r="AK79" s="364">
        <f t="shared" si="50"/>
        <v>0</v>
      </c>
      <c r="AL79" s="365">
        <f t="shared" si="51"/>
        <v>109.53360855814027</v>
      </c>
    </row>
    <row r="80" spans="1:76" ht="14.25" x14ac:dyDescent="0.65">
      <c r="A80" s="1161"/>
      <c r="B80" s="341" t="s">
        <v>480</v>
      </c>
      <c r="C80" s="342">
        <v>3950</v>
      </c>
      <c r="D80" s="343">
        <v>0</v>
      </c>
      <c r="E80" s="344">
        <v>0</v>
      </c>
      <c r="F80" s="345">
        <v>4880</v>
      </c>
      <c r="G80" s="382">
        <f>F80+F79+F78</f>
        <v>20878</v>
      </c>
      <c r="H80" s="382">
        <v>34</v>
      </c>
      <c r="I80" s="1163"/>
      <c r="J80" s="391">
        <f t="shared" si="42"/>
        <v>33</v>
      </c>
      <c r="K80" s="365">
        <f t="shared" si="43"/>
        <v>15.080121180847652</v>
      </c>
      <c r="M80" s="342">
        <v>1530</v>
      </c>
      <c r="N80" s="343">
        <v>0</v>
      </c>
      <c r="O80" s="344">
        <v>0</v>
      </c>
      <c r="P80" s="345">
        <v>50</v>
      </c>
      <c r="Q80" s="382">
        <f>P80+P79+P78</f>
        <v>3260.1</v>
      </c>
      <c r="R80" s="382">
        <v>24</v>
      </c>
      <c r="S80" s="1163"/>
      <c r="T80" s="364">
        <f t="shared" si="44"/>
        <v>3</v>
      </c>
      <c r="U80" s="365">
        <f t="shared" si="45"/>
        <v>-0.90965628988448943</v>
      </c>
      <c r="AD80" s="342">
        <f t="shared" si="46"/>
        <v>5480</v>
      </c>
      <c r="AE80" s="399">
        <f t="shared" si="47"/>
        <v>0</v>
      </c>
      <c r="AF80" s="402">
        <f t="shared" si="48"/>
        <v>0</v>
      </c>
      <c r="AG80" s="345">
        <f t="shared" si="48"/>
        <v>4930</v>
      </c>
      <c r="AH80" s="382">
        <f>AG80+AG79+AG78</f>
        <v>24138.1</v>
      </c>
      <c r="AI80" s="382">
        <f t="shared" si="49"/>
        <v>58</v>
      </c>
      <c r="AJ80" s="1163"/>
      <c r="AK80" s="364">
        <f t="shared" si="50"/>
        <v>7.2857142857142856</v>
      </c>
      <c r="AL80" s="365">
        <f t="shared" si="51"/>
        <v>4.7531473158370288</v>
      </c>
    </row>
    <row r="81" spans="1:38" ht="14.25" x14ac:dyDescent="0.65">
      <c r="A81" s="1161"/>
      <c r="B81" s="341" t="s">
        <v>483</v>
      </c>
      <c r="C81" s="342">
        <f>C80+C79</f>
        <v>3950</v>
      </c>
      <c r="D81" s="343">
        <v>0</v>
      </c>
      <c r="E81" s="344">
        <v>0</v>
      </c>
      <c r="F81" s="345">
        <f>SUM(F79:F80)</f>
        <v>4880</v>
      </c>
      <c r="G81" s="382">
        <f>F81+F78</f>
        <v>20878</v>
      </c>
      <c r="H81" s="382">
        <f>H80+H79</f>
        <v>34</v>
      </c>
      <c r="I81" s="1163"/>
      <c r="J81" s="391">
        <f t="shared" si="42"/>
        <v>16</v>
      </c>
      <c r="K81" s="365">
        <f t="shared" si="43"/>
        <v>14.218154015340186</v>
      </c>
      <c r="M81" s="342">
        <f>M80+M79</f>
        <v>1565.7</v>
      </c>
      <c r="N81" s="343">
        <v>0</v>
      </c>
      <c r="O81" s="344">
        <v>0</v>
      </c>
      <c r="P81" s="345">
        <f>SUM(P79:P80)</f>
        <v>1950</v>
      </c>
      <c r="Q81" s="382">
        <f>P81+P78</f>
        <v>3260.1</v>
      </c>
      <c r="R81" s="382">
        <f>R80+R79</f>
        <v>25</v>
      </c>
      <c r="S81" s="1163"/>
      <c r="T81" s="364">
        <f t="shared" si="44"/>
        <v>3.1666666666666665</v>
      </c>
      <c r="U81" s="365">
        <f t="shared" si="45"/>
        <v>2.5234046945049124</v>
      </c>
      <c r="AD81" s="342">
        <f t="shared" si="46"/>
        <v>5515.7</v>
      </c>
      <c r="AE81" s="399">
        <f t="shared" si="47"/>
        <v>0</v>
      </c>
      <c r="AF81" s="402">
        <f t="shared" si="48"/>
        <v>0</v>
      </c>
      <c r="AG81" s="345">
        <f t="shared" si="48"/>
        <v>6830</v>
      </c>
      <c r="AH81" s="382">
        <f>AG81+AG78</f>
        <v>24138.1</v>
      </c>
      <c r="AI81" s="382">
        <f t="shared" si="49"/>
        <v>59</v>
      </c>
      <c r="AJ81" s="1163"/>
      <c r="AK81" s="364">
        <f t="shared" si="50"/>
        <v>6.375</v>
      </c>
      <c r="AL81" s="365">
        <f t="shared" si="51"/>
        <v>6.8136475758618289</v>
      </c>
    </row>
    <row r="82" spans="1:38" ht="14.25" x14ac:dyDescent="0.65">
      <c r="A82" s="1161"/>
      <c r="B82" s="341" t="s">
        <v>486</v>
      </c>
      <c r="C82" s="342">
        <f>C81+C78</f>
        <v>16606.5</v>
      </c>
      <c r="D82" s="384">
        <v>0</v>
      </c>
      <c r="E82" s="385">
        <v>0</v>
      </c>
      <c r="F82" s="345">
        <f>F81+F78</f>
        <v>20878</v>
      </c>
      <c r="G82" s="382">
        <f>F82</f>
        <v>20878</v>
      </c>
      <c r="H82" s="382">
        <f>H81+H78</f>
        <v>436</v>
      </c>
      <c r="I82" s="1163"/>
      <c r="J82" s="391">
        <f t="shared" si="42"/>
        <v>0.17520215633423181</v>
      </c>
      <c r="K82" s="365">
        <f t="shared" si="43"/>
        <v>2.6236744483145373E-3</v>
      </c>
      <c r="M82" s="342">
        <f>M81+M78</f>
        <v>2586.8000000000002</v>
      </c>
      <c r="N82" s="384">
        <v>0</v>
      </c>
      <c r="O82" s="385">
        <v>0</v>
      </c>
      <c r="P82" s="345">
        <f>P81+P78</f>
        <v>3260.1</v>
      </c>
      <c r="Q82" s="382">
        <f>P82</f>
        <v>3260.1</v>
      </c>
      <c r="R82" s="382">
        <f>R81+R78</f>
        <v>186</v>
      </c>
      <c r="S82" s="1163"/>
      <c r="T82" s="364">
        <f t="shared" si="44"/>
        <v>0.16981132075471697</v>
      </c>
      <c r="U82" s="365">
        <f t="shared" si="45"/>
        <v>0.73685084280739088</v>
      </c>
      <c r="AD82" s="342">
        <f t="shared" si="46"/>
        <v>19193.3</v>
      </c>
      <c r="AE82" s="399">
        <f t="shared" si="47"/>
        <v>0</v>
      </c>
      <c r="AF82" s="402">
        <f t="shared" si="48"/>
        <v>0</v>
      </c>
      <c r="AG82" s="345">
        <f t="shared" si="48"/>
        <v>24138.1</v>
      </c>
      <c r="AH82" s="382">
        <f>AG82</f>
        <v>24138.1</v>
      </c>
      <c r="AI82" s="382">
        <f t="shared" si="49"/>
        <v>622</v>
      </c>
      <c r="AJ82" s="1163"/>
      <c r="AK82" s="364">
        <f t="shared" si="50"/>
        <v>0.17358490566037735</v>
      </c>
      <c r="AL82" s="365">
        <f>(AG82-AG69)/AG69</f>
        <v>6.3334430726805835E-2</v>
      </c>
    </row>
    <row r="83" spans="1:38" ht="14.25" x14ac:dyDescent="0.65">
      <c r="A83" s="1161"/>
      <c r="B83" s="341" t="s">
        <v>10</v>
      </c>
      <c r="C83" s="342">
        <v>2900</v>
      </c>
      <c r="D83" s="343">
        <v>0</v>
      </c>
      <c r="E83" s="344">
        <v>0</v>
      </c>
      <c r="F83" s="345">
        <v>3720</v>
      </c>
      <c r="G83" s="382">
        <f>F82+F83</f>
        <v>24598</v>
      </c>
      <c r="H83" s="382">
        <v>74</v>
      </c>
      <c r="I83" s="1163"/>
      <c r="J83" s="391">
        <f t="shared" si="42"/>
        <v>0.39622641509433965</v>
      </c>
      <c r="K83" s="365">
        <f t="shared" si="43"/>
        <v>-0.22375577754192752</v>
      </c>
      <c r="M83" s="342">
        <v>4800</v>
      </c>
      <c r="N83" s="343">
        <v>0</v>
      </c>
      <c r="O83" s="344">
        <v>0</v>
      </c>
      <c r="P83" s="345">
        <v>6160</v>
      </c>
      <c r="Q83" s="382">
        <f>P82+P83</f>
        <v>9420.1</v>
      </c>
      <c r="R83" s="382">
        <v>319</v>
      </c>
      <c r="S83" s="1163"/>
      <c r="T83" s="364">
        <f t="shared" si="44"/>
        <v>0.32916666666666666</v>
      </c>
      <c r="U83" s="365">
        <f t="shared" si="45"/>
        <v>-0.30539322692994963</v>
      </c>
      <c r="AD83" s="342">
        <f t="shared" si="46"/>
        <v>7700</v>
      </c>
      <c r="AE83" s="399">
        <f t="shared" si="47"/>
        <v>0</v>
      </c>
      <c r="AF83" s="402">
        <f t="shared" si="48"/>
        <v>0</v>
      </c>
      <c r="AG83" s="345">
        <f t="shared" si="48"/>
        <v>9880</v>
      </c>
      <c r="AH83" s="382">
        <f>AG82+AG83</f>
        <v>34018.1</v>
      </c>
      <c r="AI83" s="382">
        <f t="shared" si="49"/>
        <v>393</v>
      </c>
      <c r="AJ83" s="1163"/>
      <c r="AK83" s="364">
        <f t="shared" si="50"/>
        <v>0.34129692832764508</v>
      </c>
      <c r="AL83" s="365">
        <f t="shared" si="51"/>
        <v>-0.27675387697255499</v>
      </c>
    </row>
    <row r="84" spans="1:38" ht="14.25" x14ac:dyDescent="0.65">
      <c r="A84" s="1161"/>
      <c r="B84" s="341" t="s">
        <v>498</v>
      </c>
      <c r="C84" s="342">
        <v>0</v>
      </c>
      <c r="D84" s="343">
        <v>0</v>
      </c>
      <c r="E84" s="344">
        <v>0</v>
      </c>
      <c r="F84" s="345">
        <v>0</v>
      </c>
      <c r="G84" s="382">
        <f>SUM(F82:F84)</f>
        <v>24598</v>
      </c>
      <c r="H84" s="382">
        <v>0</v>
      </c>
      <c r="I84" s="1163"/>
      <c r="J84" s="391">
        <f>IFERROR((H84-H71)/H71,0)</f>
        <v>0</v>
      </c>
      <c r="K84" s="365" t="e">
        <f t="shared" si="43"/>
        <v>#DIV/0!</v>
      </c>
      <c r="M84" s="342">
        <v>434</v>
      </c>
      <c r="N84" s="343">
        <v>0</v>
      </c>
      <c r="O84" s="344">
        <v>0</v>
      </c>
      <c r="P84" s="345">
        <v>542</v>
      </c>
      <c r="Q84" s="382">
        <f>SUM(P82:P84)</f>
        <v>9962.1</v>
      </c>
      <c r="R84" s="382">
        <v>2383</v>
      </c>
      <c r="S84" s="1163"/>
      <c r="T84" s="364">
        <f t="shared" si="44"/>
        <v>0.34404963338973493</v>
      </c>
      <c r="U84" s="365">
        <f t="shared" si="45"/>
        <v>0.5481729730816709</v>
      </c>
      <c r="AD84" s="342">
        <f t="shared" si="46"/>
        <v>434</v>
      </c>
      <c r="AE84" s="399">
        <f t="shared" si="47"/>
        <v>0</v>
      </c>
      <c r="AF84" s="402">
        <f t="shared" si="48"/>
        <v>0</v>
      </c>
      <c r="AG84" s="345">
        <f t="shared" si="48"/>
        <v>542</v>
      </c>
      <c r="AH84" s="382">
        <f>SUM(AG82:AG84)</f>
        <v>34560.1</v>
      </c>
      <c r="AI84" s="382">
        <f t="shared" si="49"/>
        <v>2383</v>
      </c>
      <c r="AJ84" s="1163"/>
      <c r="AK84" s="364">
        <f>(AI84-AI71)/AI71</f>
        <v>0.34404963338973493</v>
      </c>
      <c r="AL84" s="365">
        <f t="shared" si="51"/>
        <v>0.5481729730816709</v>
      </c>
    </row>
    <row r="85" spans="1:38" ht="15" thickBot="1" x14ac:dyDescent="0.8">
      <c r="A85" s="1227"/>
      <c r="B85" s="341" t="s">
        <v>500</v>
      </c>
      <c r="C85" s="350">
        <v>248</v>
      </c>
      <c r="D85" s="351">
        <v>0</v>
      </c>
      <c r="E85" s="352">
        <v>0</v>
      </c>
      <c r="F85" s="386">
        <v>300</v>
      </c>
      <c r="G85" s="382">
        <f>SUM(F82:F85)</f>
        <v>24898</v>
      </c>
      <c r="H85" s="382">
        <v>18</v>
      </c>
      <c r="I85" s="1163"/>
      <c r="J85" s="392">
        <f t="shared" si="42"/>
        <v>0.2857142857142857</v>
      </c>
      <c r="K85" s="369">
        <f t="shared" si="43"/>
        <v>0.67891218578528856</v>
      </c>
      <c r="M85" s="350">
        <v>585</v>
      </c>
      <c r="N85" s="351">
        <v>0</v>
      </c>
      <c r="O85" s="352">
        <v>0</v>
      </c>
      <c r="P85" s="386">
        <v>700</v>
      </c>
      <c r="Q85" s="382">
        <f>SUM(P82:P85)</f>
        <v>10662.1</v>
      </c>
      <c r="R85" s="382">
        <v>60</v>
      </c>
      <c r="S85" s="1163"/>
      <c r="T85" s="368">
        <f>(R85-R72)/R72</f>
        <v>0.39534883720930231</v>
      </c>
      <c r="U85" s="369">
        <f t="shared" si="45"/>
        <v>2.5639072042793327E-2</v>
      </c>
      <c r="AD85" s="350">
        <f t="shared" si="46"/>
        <v>833</v>
      </c>
      <c r="AE85" s="400">
        <f t="shared" si="47"/>
        <v>0</v>
      </c>
      <c r="AF85" s="403">
        <f t="shared" si="48"/>
        <v>0</v>
      </c>
      <c r="AG85" s="386">
        <f>P85+F85</f>
        <v>1000</v>
      </c>
      <c r="AH85" s="382">
        <f>SUM(AG82:AG85)</f>
        <v>35560.1</v>
      </c>
      <c r="AI85" s="382">
        <f t="shared" si="49"/>
        <v>78</v>
      </c>
      <c r="AJ85" s="1163"/>
      <c r="AK85" s="368">
        <f>(AI85-AI72)/AI72</f>
        <v>0.36842105263157893</v>
      </c>
      <c r="AL85" s="369">
        <f t="shared" si="51"/>
        <v>0.16118606005888858</v>
      </c>
    </row>
    <row r="86" spans="1:38" ht="15" thickBot="1" x14ac:dyDescent="0.75">
      <c r="A86" s="354" t="s">
        <v>3</v>
      </c>
      <c r="B86" s="355">
        <f>A74</f>
        <v>2021</v>
      </c>
      <c r="C86" s="356">
        <f>SUM(C82:C85)</f>
        <v>19754.5</v>
      </c>
      <c r="D86" s="387">
        <f>SUM(D82:D85)</f>
        <v>0</v>
      </c>
      <c r="E86" s="387">
        <f>SUM(E82:E85)</f>
        <v>0</v>
      </c>
      <c r="F86" s="356">
        <f>SUM(F82:F85)</f>
        <v>24898</v>
      </c>
      <c r="G86" s="357">
        <f>G85</f>
        <v>24898</v>
      </c>
      <c r="H86" s="357">
        <f>SUM(H82:H85)</f>
        <v>528</v>
      </c>
      <c r="I86" s="1164"/>
      <c r="J86" s="372">
        <f t="shared" si="42"/>
        <v>0.20547945205479451</v>
      </c>
      <c r="K86" s="373">
        <f t="shared" si="43"/>
        <v>-3.4750217103238314E-2</v>
      </c>
      <c r="M86" s="356">
        <f>SUM(M82:M85)</f>
        <v>8405.7999999999993</v>
      </c>
      <c r="N86" s="387">
        <f>SUM(N82:N85)</f>
        <v>0</v>
      </c>
      <c r="O86" s="387">
        <f>SUM(O82:O85)</f>
        <v>0</v>
      </c>
      <c r="P86" s="356">
        <f>SUM(P82:P85)</f>
        <v>10662.1</v>
      </c>
      <c r="Q86" s="357">
        <f>Q85</f>
        <v>10662.1</v>
      </c>
      <c r="R86" s="357">
        <f>SUM(R82:R85)</f>
        <v>2948</v>
      </c>
      <c r="S86" s="1164"/>
      <c r="T86" s="372">
        <f>(R86-R73)/R73</f>
        <v>0.33092550790067721</v>
      </c>
      <c r="U86" s="373">
        <f t="shared" si="45"/>
        <v>-9.4739535866445276E-2</v>
      </c>
      <c r="AD86" s="356">
        <f t="shared" si="46"/>
        <v>28160.3</v>
      </c>
      <c r="AE86" s="715">
        <f t="shared" si="47"/>
        <v>0</v>
      </c>
      <c r="AF86" s="716">
        <f t="shared" si="48"/>
        <v>0</v>
      </c>
      <c r="AG86" s="357">
        <f>SUM(AG82:AG85)</f>
        <v>35560.1</v>
      </c>
      <c r="AH86" s="357">
        <f>AH85</f>
        <v>35560.1</v>
      </c>
      <c r="AI86" s="357">
        <f t="shared" si="49"/>
        <v>3476</v>
      </c>
      <c r="AJ86" s="1164"/>
      <c r="AK86" s="372">
        <f>(AI86-AI73)/AI73</f>
        <v>0.31021485111194874</v>
      </c>
      <c r="AL86" s="373">
        <f t="shared" si="51"/>
        <v>-5.3555306185965657E-2</v>
      </c>
    </row>
    <row r="87" spans="1:38" ht="14.25" x14ac:dyDescent="0.65">
      <c r="A87" s="1161">
        <v>2022</v>
      </c>
      <c r="B87" s="333" t="s">
        <v>469</v>
      </c>
      <c r="C87" s="334">
        <v>20</v>
      </c>
      <c r="D87" s="335">
        <v>0</v>
      </c>
      <c r="E87" s="336">
        <v>0</v>
      </c>
      <c r="F87" s="337">
        <v>30</v>
      </c>
      <c r="G87" s="381">
        <f>F87</f>
        <v>30</v>
      </c>
      <c r="H87" s="381">
        <v>1</v>
      </c>
      <c r="I87" s="1165" t="str">
        <f>"Milli áranna "&amp; $A74 &amp;" og "&amp; $A87</f>
        <v>Milli áranna 2021 og 2022</v>
      </c>
      <c r="J87" s="390">
        <f>(H87-H74)/H74</f>
        <v>-0.8</v>
      </c>
      <c r="K87" s="361">
        <f t="shared" ref="K87:K99" si="52">(F87-F74)/F74</f>
        <v>-0.94117647058823528</v>
      </c>
      <c r="M87" s="334">
        <v>0</v>
      </c>
      <c r="N87" s="335">
        <v>0</v>
      </c>
      <c r="O87" s="336">
        <v>0</v>
      </c>
      <c r="P87" s="337">
        <v>0</v>
      </c>
      <c r="Q87" s="381">
        <f>P87</f>
        <v>0</v>
      </c>
      <c r="R87" s="381">
        <v>0</v>
      </c>
      <c r="S87" s="1165" t="str">
        <f>"Milli áranna "&amp; $A74 &amp;" og "&amp; $A87</f>
        <v>Milli áranna 2021 og 2022</v>
      </c>
      <c r="T87" s="360">
        <f t="shared" ref="T87:T88" si="53">(R87-R74)/R74</f>
        <v>-1</v>
      </c>
      <c r="U87" s="361">
        <f t="shared" ref="U87:U99" si="54">(P87-P74)/P74</f>
        <v>-1</v>
      </c>
      <c r="AD87" s="334">
        <f>M87+C87</f>
        <v>20</v>
      </c>
      <c r="AE87" s="398">
        <f t="shared" ref="AE87:AE99" si="55">N87+D87</f>
        <v>0</v>
      </c>
      <c r="AF87" s="401">
        <f t="shared" ref="AF87:AF99" si="56">O87+E87</f>
        <v>0</v>
      </c>
      <c r="AG87" s="337">
        <f t="shared" ref="AG87:AG98" si="57">P87+F87</f>
        <v>30</v>
      </c>
      <c r="AH87" s="381">
        <f>AG87</f>
        <v>30</v>
      </c>
      <c r="AI87" s="381">
        <f t="shared" ref="AI87:AI99" si="58">R87+H87</f>
        <v>1</v>
      </c>
      <c r="AJ87" s="1165" t="str">
        <f>"Milli áranna "&amp; $A74 &amp;" og "&amp; $A87</f>
        <v>Milli áranna 2021 og 2022</v>
      </c>
      <c r="AK87" s="360">
        <f t="shared" ref="AK87:AK96" si="59">(AI87-AI74)/AI74</f>
        <v>-0.83333333333333337</v>
      </c>
      <c r="AL87" s="361">
        <f t="shared" ref="AL87:AL94" si="60">(AG87-AG74)/AG74</f>
        <v>-0.94230769230769229</v>
      </c>
    </row>
    <row r="88" spans="1:38" ht="14.25" x14ac:dyDescent="0.65">
      <c r="A88" s="1161"/>
      <c r="B88" s="341" t="s">
        <v>471</v>
      </c>
      <c r="C88" s="342">
        <v>11370</v>
      </c>
      <c r="D88" s="343">
        <v>0</v>
      </c>
      <c r="E88" s="344">
        <v>0</v>
      </c>
      <c r="F88" s="345">
        <v>14360</v>
      </c>
      <c r="G88" s="382">
        <f>F88+F87</f>
        <v>14390</v>
      </c>
      <c r="H88" s="382">
        <v>289</v>
      </c>
      <c r="I88" s="1163"/>
      <c r="J88" s="391">
        <f t="shared" ref="J88:J96" si="61">(H88-H75)/H75</f>
        <v>3.472222222222222E-3</v>
      </c>
      <c r="K88" s="365">
        <f t="shared" si="52"/>
        <v>1.1267605633802818E-2</v>
      </c>
      <c r="M88" s="342">
        <v>130</v>
      </c>
      <c r="N88" s="343">
        <v>0</v>
      </c>
      <c r="O88" s="344">
        <v>0</v>
      </c>
      <c r="P88" s="345">
        <v>170</v>
      </c>
      <c r="Q88" s="382">
        <f>P88+P87</f>
        <v>170</v>
      </c>
      <c r="R88" s="382">
        <v>12</v>
      </c>
      <c r="S88" s="1163"/>
      <c r="T88" s="364">
        <f t="shared" si="53"/>
        <v>0.2</v>
      </c>
      <c r="U88" s="365">
        <f t="shared" si="54"/>
        <v>-0.10526315789473684</v>
      </c>
      <c r="AD88" s="342">
        <f t="shared" ref="AD88:AD99" si="62">M88+C88</f>
        <v>11500</v>
      </c>
      <c r="AE88" s="399">
        <f t="shared" si="55"/>
        <v>0</v>
      </c>
      <c r="AF88" s="402">
        <f t="shared" si="56"/>
        <v>0</v>
      </c>
      <c r="AG88" s="345">
        <f t="shared" si="57"/>
        <v>14530</v>
      </c>
      <c r="AH88" s="382">
        <f>AG88+AG87</f>
        <v>14560</v>
      </c>
      <c r="AI88" s="382">
        <f t="shared" si="58"/>
        <v>301</v>
      </c>
      <c r="AJ88" s="1163"/>
      <c r="AK88" s="364">
        <f t="shared" si="59"/>
        <v>1.0067114093959731E-2</v>
      </c>
      <c r="AL88" s="365">
        <f t="shared" si="60"/>
        <v>9.7289784572619879E-3</v>
      </c>
    </row>
    <row r="89" spans="1:38" ht="14.25" x14ac:dyDescent="0.65">
      <c r="A89" s="1161"/>
      <c r="B89" s="341" t="s">
        <v>473</v>
      </c>
      <c r="C89" s="342">
        <v>1311</v>
      </c>
      <c r="D89" s="343">
        <v>0</v>
      </c>
      <c r="E89" s="344">
        <v>0</v>
      </c>
      <c r="F89" s="345">
        <v>1668</v>
      </c>
      <c r="G89" s="382">
        <f>F89+F88+F87</f>
        <v>16058</v>
      </c>
      <c r="H89" s="382">
        <v>118</v>
      </c>
      <c r="I89" s="1163"/>
      <c r="J89" s="391">
        <f t="shared" si="61"/>
        <v>9.2592592592592587E-2</v>
      </c>
      <c r="K89" s="365">
        <f t="shared" si="52"/>
        <v>0.31338582677165355</v>
      </c>
      <c r="M89" s="342">
        <v>12</v>
      </c>
      <c r="N89" s="343">
        <v>0</v>
      </c>
      <c r="O89" s="344">
        <v>0</v>
      </c>
      <c r="P89" s="345">
        <v>15</v>
      </c>
      <c r="Q89" s="382">
        <f>P89+P88+P87</f>
        <v>185</v>
      </c>
      <c r="R89" s="382">
        <v>5</v>
      </c>
      <c r="S89" s="1163"/>
      <c r="T89" s="364">
        <f>(R89-R76)/R76</f>
        <v>4</v>
      </c>
      <c r="U89" s="365">
        <f t="shared" si="54"/>
        <v>149</v>
      </c>
      <c r="AD89" s="342">
        <f t="shared" si="62"/>
        <v>1323</v>
      </c>
      <c r="AE89" s="399">
        <f t="shared" si="55"/>
        <v>0</v>
      </c>
      <c r="AF89" s="402">
        <f t="shared" si="56"/>
        <v>0</v>
      </c>
      <c r="AG89" s="345">
        <f t="shared" si="57"/>
        <v>1683</v>
      </c>
      <c r="AH89" s="382">
        <f>AG89+AG88+AG87</f>
        <v>16243</v>
      </c>
      <c r="AI89" s="382">
        <f t="shared" si="58"/>
        <v>123</v>
      </c>
      <c r="AJ89" s="1163"/>
      <c r="AK89" s="364">
        <f t="shared" si="59"/>
        <v>0.12844036697247707</v>
      </c>
      <c r="AL89" s="365">
        <f t="shared" si="60"/>
        <v>0.3250925124005985</v>
      </c>
    </row>
    <row r="90" spans="1:38" ht="14.25" x14ac:dyDescent="0.65">
      <c r="A90" s="1161"/>
      <c r="B90" s="341" t="s">
        <v>475</v>
      </c>
      <c r="C90" s="342">
        <v>50</v>
      </c>
      <c r="D90" s="343">
        <v>0</v>
      </c>
      <c r="E90" s="344">
        <v>0</v>
      </c>
      <c r="F90" s="345">
        <v>50</v>
      </c>
      <c r="G90" s="382">
        <f>SUM(F87:F90)</f>
        <v>16108</v>
      </c>
      <c r="H90" s="382">
        <v>1</v>
      </c>
      <c r="I90" s="1163"/>
      <c r="J90" s="391">
        <f t="shared" si="61"/>
        <v>0</v>
      </c>
      <c r="K90" s="365">
        <f t="shared" si="52"/>
        <v>1.7777777777777777</v>
      </c>
      <c r="M90" s="342">
        <v>940</v>
      </c>
      <c r="N90" s="343">
        <v>0</v>
      </c>
      <c r="O90" s="344">
        <v>0</v>
      </c>
      <c r="P90" s="345">
        <v>1210</v>
      </c>
      <c r="Q90" s="382">
        <f>SUM(P87:P90)</f>
        <v>1395</v>
      </c>
      <c r="R90" s="382">
        <v>145</v>
      </c>
      <c r="S90" s="1163"/>
      <c r="T90" s="364">
        <f t="shared" ref="T90:T97" si="63">(R90-R77)/R77</f>
        <v>-2.6845637583892617E-2</v>
      </c>
      <c r="U90" s="365">
        <f t="shared" si="54"/>
        <v>9.0090090090090086E-2</v>
      </c>
      <c r="AD90" s="342">
        <f t="shared" si="62"/>
        <v>990</v>
      </c>
      <c r="AE90" s="399">
        <f t="shared" si="55"/>
        <v>0</v>
      </c>
      <c r="AF90" s="402">
        <f t="shared" si="56"/>
        <v>0</v>
      </c>
      <c r="AG90" s="345">
        <f>P90+F90</f>
        <v>1260</v>
      </c>
      <c r="AH90" s="382">
        <f>SUM(AG87:AG90)</f>
        <v>17503</v>
      </c>
      <c r="AI90" s="382">
        <f t="shared" si="58"/>
        <v>146</v>
      </c>
      <c r="AJ90" s="1163"/>
      <c r="AK90" s="364">
        <f t="shared" si="59"/>
        <v>-2.6666666666666668E-2</v>
      </c>
      <c r="AL90" s="365">
        <f t="shared" si="60"/>
        <v>0.11702127659574468</v>
      </c>
    </row>
    <row r="91" spans="1:38" ht="14.25" x14ac:dyDescent="0.65">
      <c r="A91" s="1161"/>
      <c r="B91" s="375" t="s">
        <v>477</v>
      </c>
      <c r="C91" s="342">
        <f>SUM(C87:C90)</f>
        <v>12751</v>
      </c>
      <c r="D91" s="343">
        <v>0</v>
      </c>
      <c r="E91" s="344">
        <v>0</v>
      </c>
      <c r="F91" s="345">
        <f>SUM(F87:F90)</f>
        <v>16108</v>
      </c>
      <c r="G91" s="382">
        <f>SUM(F91)</f>
        <v>16108</v>
      </c>
      <c r="H91" s="382">
        <f>SUM(H87:H90)</f>
        <v>409</v>
      </c>
      <c r="I91" s="1163"/>
      <c r="J91" s="391">
        <f t="shared" si="61"/>
        <v>1.7412935323383085E-2</v>
      </c>
      <c r="K91" s="365">
        <f t="shared" si="52"/>
        <v>6.8758594824353042E-3</v>
      </c>
      <c r="M91" s="342">
        <f>SUM(M87:M90)</f>
        <v>1082</v>
      </c>
      <c r="N91" s="343">
        <v>0</v>
      </c>
      <c r="O91" s="344">
        <v>0</v>
      </c>
      <c r="P91" s="345">
        <f>SUM(P87:P90)</f>
        <v>1395</v>
      </c>
      <c r="Q91" s="382">
        <f>SUM(P91)</f>
        <v>1395</v>
      </c>
      <c r="R91" s="382">
        <f>SUM(R87:R90)</f>
        <v>162</v>
      </c>
      <c r="S91" s="1163"/>
      <c r="T91" s="364">
        <f>(R91-R78)/R78</f>
        <v>6.2111801242236021E-3</v>
      </c>
      <c r="U91" s="365">
        <f t="shared" si="54"/>
        <v>6.4804213418823059E-2</v>
      </c>
      <c r="AD91" s="342">
        <f t="shared" si="62"/>
        <v>13833</v>
      </c>
      <c r="AE91" s="399">
        <f t="shared" si="55"/>
        <v>0</v>
      </c>
      <c r="AF91" s="402">
        <f t="shared" si="56"/>
        <v>0</v>
      </c>
      <c r="AG91" s="345">
        <f>P91+F91</f>
        <v>17503</v>
      </c>
      <c r="AH91" s="382">
        <f>SUM(AG91)</f>
        <v>17503</v>
      </c>
      <c r="AI91" s="382">
        <f t="shared" si="58"/>
        <v>571</v>
      </c>
      <c r="AJ91" s="1163"/>
      <c r="AK91" s="364">
        <f t="shared" si="59"/>
        <v>1.4209591474245116E-2</v>
      </c>
      <c r="AL91" s="365">
        <f t="shared" si="60"/>
        <v>1.1260623638643264E-2</v>
      </c>
    </row>
    <row r="92" spans="1:38" ht="14.25" x14ac:dyDescent="0.65">
      <c r="A92" s="1161"/>
      <c r="B92" s="341" t="s">
        <v>479</v>
      </c>
      <c r="C92" s="342">
        <v>0</v>
      </c>
      <c r="D92" s="343">
        <v>0</v>
      </c>
      <c r="E92" s="344">
        <v>0</v>
      </c>
      <c r="F92" s="345">
        <v>0</v>
      </c>
      <c r="G92" s="382">
        <f>F91+F92</f>
        <v>16108</v>
      </c>
      <c r="H92" s="382">
        <v>0</v>
      </c>
      <c r="I92" s="1163"/>
      <c r="J92" s="391" t="e">
        <f>(H92-H79)/H79</f>
        <v>#DIV/0!</v>
      </c>
      <c r="K92" s="365" t="e">
        <f t="shared" si="52"/>
        <v>#DIV/0!</v>
      </c>
      <c r="M92" s="342">
        <v>230</v>
      </c>
      <c r="N92" s="343">
        <v>0</v>
      </c>
      <c r="O92" s="344">
        <v>0</v>
      </c>
      <c r="P92" s="345">
        <v>290</v>
      </c>
      <c r="Q92" s="382">
        <f>P91+P92</f>
        <v>1685</v>
      </c>
      <c r="R92" s="382">
        <v>5</v>
      </c>
      <c r="S92" s="1163"/>
      <c r="T92" s="364">
        <f t="shared" si="63"/>
        <v>4</v>
      </c>
      <c r="U92" s="365">
        <f t="shared" si="54"/>
        <v>-0.84736842105263155</v>
      </c>
      <c r="AD92" s="342">
        <f t="shared" si="62"/>
        <v>230</v>
      </c>
      <c r="AE92" s="399">
        <f t="shared" si="55"/>
        <v>0</v>
      </c>
      <c r="AF92" s="402">
        <f t="shared" si="56"/>
        <v>0</v>
      </c>
      <c r="AG92" s="345">
        <f t="shared" si="57"/>
        <v>290</v>
      </c>
      <c r="AH92" s="382">
        <f>AG91+AG92</f>
        <v>17793</v>
      </c>
      <c r="AI92" s="382">
        <f t="shared" si="58"/>
        <v>5</v>
      </c>
      <c r="AJ92" s="1163"/>
      <c r="AK92" s="364">
        <f t="shared" si="59"/>
        <v>4</v>
      </c>
      <c r="AL92" s="365">
        <f t="shared" si="60"/>
        <v>-0.84736842105263155</v>
      </c>
    </row>
    <row r="93" spans="1:38" ht="14.25" x14ac:dyDescent="0.65">
      <c r="A93" s="1161"/>
      <c r="B93" s="341" t="s">
        <v>480</v>
      </c>
      <c r="C93" s="342">
        <v>15320</v>
      </c>
      <c r="D93" s="343">
        <v>0</v>
      </c>
      <c r="E93" s="344">
        <v>0</v>
      </c>
      <c r="F93" s="345">
        <v>19030</v>
      </c>
      <c r="G93" s="382">
        <f>F93+F92+F91</f>
        <v>35138</v>
      </c>
      <c r="H93" s="382">
        <v>110</v>
      </c>
      <c r="I93" s="1163"/>
      <c r="J93" s="391">
        <f t="shared" si="61"/>
        <v>2.2352941176470589</v>
      </c>
      <c r="K93" s="365">
        <f t="shared" si="52"/>
        <v>2.8995901639344264</v>
      </c>
      <c r="M93" s="342">
        <v>2300</v>
      </c>
      <c r="N93" s="343">
        <v>0</v>
      </c>
      <c r="O93" s="344">
        <v>0</v>
      </c>
      <c r="P93" s="345">
        <v>2920</v>
      </c>
      <c r="Q93" s="382">
        <f>P93+P92+P91</f>
        <v>4605</v>
      </c>
      <c r="R93" s="382">
        <v>69</v>
      </c>
      <c r="S93" s="1163"/>
      <c r="T93" s="364">
        <f t="shared" si="63"/>
        <v>1.875</v>
      </c>
      <c r="U93" s="365">
        <f t="shared" si="54"/>
        <v>57.4</v>
      </c>
      <c r="AD93" s="342">
        <f t="shared" si="62"/>
        <v>17620</v>
      </c>
      <c r="AE93" s="399">
        <f t="shared" si="55"/>
        <v>0</v>
      </c>
      <c r="AF93" s="402">
        <f t="shared" si="56"/>
        <v>0</v>
      </c>
      <c r="AG93" s="345">
        <f t="shared" si="57"/>
        <v>21950</v>
      </c>
      <c r="AH93" s="382">
        <f>AG93+AG92+AG91</f>
        <v>39743</v>
      </c>
      <c r="AI93" s="382">
        <f>R93+H93</f>
        <v>179</v>
      </c>
      <c r="AJ93" s="1163"/>
      <c r="AK93" s="364">
        <f t="shared" si="59"/>
        <v>2.0862068965517242</v>
      </c>
      <c r="AL93" s="365">
        <f t="shared" si="60"/>
        <v>3.4523326572008113</v>
      </c>
    </row>
    <row r="94" spans="1:38" ht="14.25" x14ac:dyDescent="0.65">
      <c r="A94" s="1161"/>
      <c r="B94" s="341" t="s">
        <v>483</v>
      </c>
      <c r="C94" s="342">
        <f>C93+C92</f>
        <v>15320</v>
      </c>
      <c r="D94" s="343">
        <v>0</v>
      </c>
      <c r="E94" s="344">
        <v>0</v>
      </c>
      <c r="F94" s="345">
        <f>SUM(F92:F93)</f>
        <v>19030</v>
      </c>
      <c r="G94" s="382">
        <f>F94+F91</f>
        <v>35138</v>
      </c>
      <c r="H94" s="382">
        <f>H93+H92</f>
        <v>110</v>
      </c>
      <c r="I94" s="1163"/>
      <c r="J94" s="391">
        <f t="shared" si="61"/>
        <v>2.2352941176470589</v>
      </c>
      <c r="K94" s="365">
        <f t="shared" si="52"/>
        <v>2.8995901639344264</v>
      </c>
      <c r="M94" s="342">
        <f>M93+M92</f>
        <v>2530</v>
      </c>
      <c r="N94" s="343">
        <v>0</v>
      </c>
      <c r="O94" s="344">
        <v>0</v>
      </c>
      <c r="P94" s="345">
        <f>SUM(P92:P93)</f>
        <v>3210</v>
      </c>
      <c r="Q94" s="382">
        <f>P94+P91</f>
        <v>4605</v>
      </c>
      <c r="R94" s="382">
        <f>R93+R92</f>
        <v>74</v>
      </c>
      <c r="S94" s="1163"/>
      <c r="T94" s="364">
        <f>(R94-R81)/R81</f>
        <v>1.96</v>
      </c>
      <c r="U94" s="365">
        <f t="shared" si="54"/>
        <v>0.64615384615384619</v>
      </c>
      <c r="AD94" s="342">
        <f t="shared" si="62"/>
        <v>17850</v>
      </c>
      <c r="AE94" s="399">
        <f t="shared" si="55"/>
        <v>0</v>
      </c>
      <c r="AF94" s="402">
        <f t="shared" si="56"/>
        <v>0</v>
      </c>
      <c r="AG94" s="345">
        <f t="shared" si="57"/>
        <v>22240</v>
      </c>
      <c r="AH94" s="382">
        <f>AG94+AG91</f>
        <v>39743</v>
      </c>
      <c r="AI94" s="382">
        <f t="shared" si="58"/>
        <v>184</v>
      </c>
      <c r="AJ94" s="1163"/>
      <c r="AK94" s="364">
        <f t="shared" si="59"/>
        <v>2.1186440677966103</v>
      </c>
      <c r="AL94" s="365">
        <f t="shared" si="60"/>
        <v>2.2562225475841875</v>
      </c>
    </row>
    <row r="95" spans="1:38" ht="14.25" x14ac:dyDescent="0.65">
      <c r="A95" s="1161"/>
      <c r="B95" s="341" t="s">
        <v>486</v>
      </c>
      <c r="C95" s="342">
        <f>C94+C91</f>
        <v>28071</v>
      </c>
      <c r="D95" s="384">
        <v>0</v>
      </c>
      <c r="E95" s="385">
        <v>0</v>
      </c>
      <c r="F95" s="345">
        <f>F94+F91</f>
        <v>35138</v>
      </c>
      <c r="G95" s="382">
        <f>F95</f>
        <v>35138</v>
      </c>
      <c r="H95" s="382">
        <f>H94+H91</f>
        <v>519</v>
      </c>
      <c r="I95" s="1163"/>
      <c r="J95" s="391">
        <f t="shared" si="61"/>
        <v>0.19036697247706422</v>
      </c>
      <c r="K95" s="365">
        <f t="shared" si="52"/>
        <v>0.68301561452246384</v>
      </c>
      <c r="M95" s="342">
        <f>M94+M91</f>
        <v>3612</v>
      </c>
      <c r="N95" s="384">
        <v>0</v>
      </c>
      <c r="O95" s="385">
        <v>0</v>
      </c>
      <c r="P95" s="345">
        <f>P94+P91</f>
        <v>4605</v>
      </c>
      <c r="Q95" s="382">
        <f>P95</f>
        <v>4605</v>
      </c>
      <c r="R95" s="382">
        <f>R94+R91</f>
        <v>236</v>
      </c>
      <c r="S95" s="1163"/>
      <c r="T95" s="364">
        <f t="shared" si="63"/>
        <v>0.26881720430107525</v>
      </c>
      <c r="U95" s="365">
        <f>(P95-P82)/P82</f>
        <v>0.41253335787245793</v>
      </c>
      <c r="AD95" s="342">
        <f t="shared" si="62"/>
        <v>31683</v>
      </c>
      <c r="AE95" s="399">
        <f t="shared" si="55"/>
        <v>0</v>
      </c>
      <c r="AF95" s="402">
        <f t="shared" si="56"/>
        <v>0</v>
      </c>
      <c r="AG95" s="345">
        <f t="shared" si="57"/>
        <v>39743</v>
      </c>
      <c r="AH95" s="382">
        <f>AG95</f>
        <v>39743</v>
      </c>
      <c r="AI95" s="382">
        <f t="shared" si="58"/>
        <v>755</v>
      </c>
      <c r="AJ95" s="1163"/>
      <c r="AK95" s="364">
        <f t="shared" si="59"/>
        <v>0.21382636655948553</v>
      </c>
      <c r="AL95" s="365">
        <f>(AG95-AG82)/AG82</f>
        <v>0.64648418889639214</v>
      </c>
    </row>
    <row r="96" spans="1:38" ht="14.25" x14ac:dyDescent="0.65">
      <c r="A96" s="1161"/>
      <c r="B96" s="341" t="s">
        <v>10</v>
      </c>
      <c r="C96" s="342">
        <v>1540</v>
      </c>
      <c r="D96" s="343">
        <v>0</v>
      </c>
      <c r="E96" s="344">
        <v>0</v>
      </c>
      <c r="F96" s="345">
        <v>1960</v>
      </c>
      <c r="G96" s="382">
        <f>F95+F96</f>
        <v>37098</v>
      </c>
      <c r="H96" s="382">
        <v>70</v>
      </c>
      <c r="I96" s="1163"/>
      <c r="J96" s="391">
        <f t="shared" si="61"/>
        <v>-5.4054054054054057E-2</v>
      </c>
      <c r="K96" s="365">
        <f t="shared" si="52"/>
        <v>-0.4731182795698925</v>
      </c>
      <c r="M96" s="342">
        <v>5940</v>
      </c>
      <c r="N96" s="343">
        <v>0</v>
      </c>
      <c r="O96" s="344">
        <v>0</v>
      </c>
      <c r="P96" s="345">
        <v>7570</v>
      </c>
      <c r="Q96" s="382">
        <f>P95+P96</f>
        <v>12175</v>
      </c>
      <c r="R96" s="382">
        <v>310</v>
      </c>
      <c r="S96" s="1163"/>
      <c r="T96" s="364">
        <f t="shared" si="63"/>
        <v>-2.8213166144200628E-2</v>
      </c>
      <c r="U96" s="365">
        <f t="shared" si="54"/>
        <v>0.2288961038961039</v>
      </c>
      <c r="AD96" s="342">
        <f t="shared" si="62"/>
        <v>7480</v>
      </c>
      <c r="AE96" s="399">
        <f t="shared" si="55"/>
        <v>0</v>
      </c>
      <c r="AF96" s="402">
        <f t="shared" si="56"/>
        <v>0</v>
      </c>
      <c r="AG96" s="345">
        <f t="shared" si="57"/>
        <v>9530</v>
      </c>
      <c r="AH96" s="382">
        <f>AG95+AG96</f>
        <v>49273</v>
      </c>
      <c r="AI96" s="382">
        <f t="shared" si="58"/>
        <v>380</v>
      </c>
      <c r="AJ96" s="1163"/>
      <c r="AK96" s="364">
        <f t="shared" si="59"/>
        <v>-3.3078880407124679E-2</v>
      </c>
      <c r="AL96" s="365">
        <f t="shared" ref="AL96:AL107" si="64">(AG96-AG83)/AG83</f>
        <v>-3.54251012145749E-2</v>
      </c>
    </row>
    <row r="97" spans="1:38" ht="14.25" x14ac:dyDescent="0.65">
      <c r="A97" s="1161"/>
      <c r="B97" s="341" t="s">
        <v>498</v>
      </c>
      <c r="C97" s="342">
        <v>0</v>
      </c>
      <c r="D97" s="343">
        <v>0</v>
      </c>
      <c r="E97" s="344">
        <v>0</v>
      </c>
      <c r="F97" s="345">
        <v>0</v>
      </c>
      <c r="G97" s="382">
        <f>SUM(F95:F97)</f>
        <v>37098</v>
      </c>
      <c r="H97" s="382">
        <v>0</v>
      </c>
      <c r="I97" s="1163"/>
      <c r="J97" s="391">
        <f>IFERROR((H97-H84)/H84,0)</f>
        <v>0</v>
      </c>
      <c r="K97" s="365" t="e">
        <f t="shared" si="52"/>
        <v>#DIV/0!</v>
      </c>
      <c r="M97" s="342">
        <v>780</v>
      </c>
      <c r="N97" s="343">
        <v>0</v>
      </c>
      <c r="O97" s="344">
        <v>0</v>
      </c>
      <c r="P97" s="345">
        <v>980</v>
      </c>
      <c r="Q97" s="382">
        <f>SUM(P95:P97)</f>
        <v>13155</v>
      </c>
      <c r="R97" s="382">
        <v>3959</v>
      </c>
      <c r="S97" s="1163"/>
      <c r="T97" s="364">
        <f t="shared" si="63"/>
        <v>0.66135123793537554</v>
      </c>
      <c r="U97" s="365">
        <f t="shared" si="54"/>
        <v>0.80811808118081185</v>
      </c>
      <c r="AD97" s="342">
        <f t="shared" si="62"/>
        <v>780</v>
      </c>
      <c r="AE97" s="399">
        <f t="shared" si="55"/>
        <v>0</v>
      </c>
      <c r="AF97" s="402">
        <f t="shared" si="56"/>
        <v>0</v>
      </c>
      <c r="AG97" s="345">
        <f t="shared" si="57"/>
        <v>980</v>
      </c>
      <c r="AH97" s="382">
        <f>SUM(AG95:AG97)</f>
        <v>50253</v>
      </c>
      <c r="AI97" s="382">
        <f t="shared" si="58"/>
        <v>3959</v>
      </c>
      <c r="AJ97" s="1163"/>
      <c r="AK97" s="364">
        <f>(AI97-AI84)/AI84</f>
        <v>0.66135123793537554</v>
      </c>
      <c r="AL97" s="365">
        <f t="shared" si="64"/>
        <v>0.80811808118081185</v>
      </c>
    </row>
    <row r="98" spans="1:38" ht="15" thickBot="1" x14ac:dyDescent="0.8">
      <c r="A98" s="1227"/>
      <c r="B98" s="341" t="s">
        <v>500</v>
      </c>
      <c r="C98" s="350">
        <v>760</v>
      </c>
      <c r="D98" s="351">
        <v>0</v>
      </c>
      <c r="E98" s="352">
        <v>0</v>
      </c>
      <c r="F98" s="386">
        <v>970</v>
      </c>
      <c r="G98" s="382">
        <f>SUM(F95:F98)</f>
        <v>38068</v>
      </c>
      <c r="H98" s="382">
        <v>28</v>
      </c>
      <c r="I98" s="1163"/>
      <c r="J98" s="392">
        <f t="shared" ref="J98:J104" si="65">(H98-H85)/H85</f>
        <v>0.55555555555555558</v>
      </c>
      <c r="K98" s="369">
        <f t="shared" si="52"/>
        <v>2.2333333333333334</v>
      </c>
      <c r="M98" s="350">
        <v>1070</v>
      </c>
      <c r="N98" s="351">
        <v>0</v>
      </c>
      <c r="O98" s="352">
        <v>0</v>
      </c>
      <c r="P98" s="386">
        <v>1360</v>
      </c>
      <c r="Q98" s="382">
        <f>SUM(P95:P98)</f>
        <v>14515</v>
      </c>
      <c r="R98" s="382">
        <v>49</v>
      </c>
      <c r="S98" s="1163"/>
      <c r="T98" s="368">
        <f>(R98-R85)/R85</f>
        <v>-0.18333333333333332</v>
      </c>
      <c r="U98" s="369">
        <f t="shared" si="54"/>
        <v>0.94285714285714284</v>
      </c>
      <c r="AD98" s="350">
        <f t="shared" si="62"/>
        <v>1830</v>
      </c>
      <c r="AE98" s="400">
        <f t="shared" si="55"/>
        <v>0</v>
      </c>
      <c r="AF98" s="403">
        <f t="shared" si="56"/>
        <v>0</v>
      </c>
      <c r="AG98" s="386">
        <f t="shared" si="57"/>
        <v>2330</v>
      </c>
      <c r="AH98" s="382">
        <f>SUM(AG95:AG98)</f>
        <v>52583</v>
      </c>
      <c r="AI98" s="382">
        <f t="shared" si="58"/>
        <v>77</v>
      </c>
      <c r="AJ98" s="1163"/>
      <c r="AK98" s="368">
        <f>(AI98-AI85)/AI85</f>
        <v>-1.282051282051282E-2</v>
      </c>
      <c r="AL98" s="369">
        <f t="shared" si="64"/>
        <v>1.33</v>
      </c>
    </row>
    <row r="99" spans="1:38" ht="15" thickBot="1" x14ac:dyDescent="0.75">
      <c r="A99" s="354" t="s">
        <v>552</v>
      </c>
      <c r="B99" s="355">
        <f>A87</f>
        <v>2022</v>
      </c>
      <c r="C99" s="356">
        <f>SUM(C95:C98)</f>
        <v>30371</v>
      </c>
      <c r="D99" s="387">
        <f>SUM(D95:D98)</f>
        <v>0</v>
      </c>
      <c r="E99" s="387">
        <f>SUM(E95:E98)</f>
        <v>0</v>
      </c>
      <c r="F99" s="356">
        <f>SUM(F95:F98)</f>
        <v>38068</v>
      </c>
      <c r="G99" s="357">
        <f>G98</f>
        <v>38068</v>
      </c>
      <c r="H99" s="357">
        <f>SUM(H95:H98)</f>
        <v>617</v>
      </c>
      <c r="I99" s="1164"/>
      <c r="J99" s="372">
        <f t="shared" si="65"/>
        <v>0.16856060606060605</v>
      </c>
      <c r="K99" s="373">
        <f t="shared" si="52"/>
        <v>0.52895814924893569</v>
      </c>
      <c r="M99" s="356">
        <f>SUM(M95:M98)</f>
        <v>11402</v>
      </c>
      <c r="N99" s="387">
        <f>SUM(N95:N98)</f>
        <v>0</v>
      </c>
      <c r="O99" s="387">
        <f>SUM(O95:O98)</f>
        <v>0</v>
      </c>
      <c r="P99" s="356">
        <f>SUM(P95:P98)</f>
        <v>14515</v>
      </c>
      <c r="Q99" s="357">
        <f>Q98</f>
        <v>14515</v>
      </c>
      <c r="R99" s="357">
        <f>SUM(R95:R98)</f>
        <v>4554</v>
      </c>
      <c r="S99" s="1164"/>
      <c r="T99" s="372">
        <f>(R99-R86)/R86</f>
        <v>0.54477611940298509</v>
      </c>
      <c r="U99" s="373">
        <f t="shared" si="54"/>
        <v>0.36136408399846182</v>
      </c>
      <c r="AD99" s="356">
        <f t="shared" si="62"/>
        <v>41773</v>
      </c>
      <c r="AE99" s="715">
        <f t="shared" si="55"/>
        <v>0</v>
      </c>
      <c r="AF99" s="716">
        <f t="shared" si="56"/>
        <v>0</v>
      </c>
      <c r="AG99" s="357">
        <f>SUM(AG95:AG98)</f>
        <v>52583</v>
      </c>
      <c r="AH99" s="357">
        <f>AH98</f>
        <v>52583</v>
      </c>
      <c r="AI99" s="357">
        <f t="shared" si="58"/>
        <v>5171</v>
      </c>
      <c r="AJ99" s="1164"/>
      <c r="AK99" s="372">
        <f>(AI99-AI86)/AI86</f>
        <v>0.48762945914844646</v>
      </c>
      <c r="AL99" s="373">
        <f t="shared" si="64"/>
        <v>0.47870787764938799</v>
      </c>
    </row>
    <row r="100" spans="1:38" ht="14.25" customHeight="1" thickBot="1" x14ac:dyDescent="0.8">
      <c r="A100" s="1161">
        <v>2023</v>
      </c>
      <c r="B100" s="333" t="s">
        <v>469</v>
      </c>
      <c r="C100" s="334">
        <v>82</v>
      </c>
      <c r="D100" s="335">
        <v>0</v>
      </c>
      <c r="E100" s="336">
        <v>0</v>
      </c>
      <c r="F100" s="337">
        <v>105</v>
      </c>
      <c r="G100" s="381">
        <f>F100</f>
        <v>105</v>
      </c>
      <c r="H100" s="381">
        <v>2</v>
      </c>
      <c r="I100" s="1165" t="str">
        <f>"Milli áranna "&amp; $A87 &amp;" og "&amp; $A100</f>
        <v>Milli áranna 2022 og 2023</v>
      </c>
      <c r="J100" s="390">
        <f>(H100-H87)/H87</f>
        <v>1</v>
      </c>
      <c r="K100" s="361">
        <f t="shared" ref="K100:K112" si="66">(F100-F87)/F87</f>
        <v>2.5</v>
      </c>
      <c r="M100" s="334">
        <v>0</v>
      </c>
      <c r="N100" s="335">
        <v>0</v>
      </c>
      <c r="O100" s="336">
        <v>0</v>
      </c>
      <c r="P100" s="337">
        <v>0</v>
      </c>
      <c r="Q100" s="381">
        <f>P100</f>
        <v>0</v>
      </c>
      <c r="R100" s="381">
        <v>0</v>
      </c>
      <c r="S100" s="1165" t="str">
        <f>"Milli áranna "&amp; $A87 &amp;" og "&amp; $A100</f>
        <v>Milli áranna 2022 og 2023</v>
      </c>
      <c r="T100" s="360" t="e">
        <f t="shared" ref="T100:T101" si="67">(R100-R87)/R87</f>
        <v>#DIV/0!</v>
      </c>
      <c r="U100" s="361" t="e">
        <f t="shared" ref="U100:U107" si="68">(P100-P87)/P87</f>
        <v>#DIV/0!</v>
      </c>
      <c r="AD100" s="334">
        <f>M100+C100</f>
        <v>82</v>
      </c>
      <c r="AE100" s="398">
        <f t="shared" ref="AE100:AE112" si="69">N100+D100</f>
        <v>0</v>
      </c>
      <c r="AF100" s="401">
        <f t="shared" ref="AF100:AF112" si="70">O100+E100</f>
        <v>0</v>
      </c>
      <c r="AG100" s="337">
        <f t="shared" ref="AG100:AG102" si="71">P100+F100</f>
        <v>105</v>
      </c>
      <c r="AH100" s="381">
        <f>AG100</f>
        <v>105</v>
      </c>
      <c r="AI100" s="381">
        <f t="shared" ref="AI100:AI105" si="72">R100+H100</f>
        <v>2</v>
      </c>
      <c r="AJ100" s="1165" t="str">
        <f>"Milli áranna "&amp; $A87 &amp;" og "&amp; $A100</f>
        <v>Milli áranna 2022 og 2023</v>
      </c>
      <c r="AK100" s="360">
        <f t="shared" ref="AK100:AK109" si="73">(AI100-AI87)/AI87</f>
        <v>1</v>
      </c>
      <c r="AL100" s="361">
        <f t="shared" si="64"/>
        <v>2.5</v>
      </c>
    </row>
    <row r="101" spans="1:38" ht="14.25" x14ac:dyDescent="0.65">
      <c r="A101" s="1161"/>
      <c r="B101" s="341" t="s">
        <v>471</v>
      </c>
      <c r="C101" s="342">
        <v>13504</v>
      </c>
      <c r="D101" s="343">
        <v>0</v>
      </c>
      <c r="E101" s="344">
        <v>0</v>
      </c>
      <c r="F101" s="345">
        <v>17082</v>
      </c>
      <c r="G101" s="382">
        <f>F101+F100</f>
        <v>17187</v>
      </c>
      <c r="H101" s="382">
        <v>331</v>
      </c>
      <c r="I101" s="1163"/>
      <c r="J101" s="391">
        <f t="shared" si="65"/>
        <v>0.1453287197231834</v>
      </c>
      <c r="K101" s="365">
        <f t="shared" si="66"/>
        <v>0.18955431754874652</v>
      </c>
      <c r="M101" s="342">
        <v>184</v>
      </c>
      <c r="N101" s="343">
        <v>0</v>
      </c>
      <c r="O101" s="344">
        <v>0</v>
      </c>
      <c r="P101" s="345">
        <v>231</v>
      </c>
      <c r="Q101" s="382">
        <f>P101+P100</f>
        <v>231</v>
      </c>
      <c r="R101" s="382">
        <v>10</v>
      </c>
      <c r="S101" s="1163"/>
      <c r="T101" s="364">
        <f t="shared" si="67"/>
        <v>-0.16666666666666666</v>
      </c>
      <c r="U101" s="365">
        <f t="shared" si="68"/>
        <v>0.35882352941176471</v>
      </c>
      <c r="AD101" s="334">
        <f>M101+C101</f>
        <v>13688</v>
      </c>
      <c r="AE101" s="399">
        <f t="shared" si="69"/>
        <v>0</v>
      </c>
      <c r="AF101" s="402">
        <f t="shared" si="70"/>
        <v>0</v>
      </c>
      <c r="AG101" s="345">
        <f t="shared" si="71"/>
        <v>17313</v>
      </c>
      <c r="AH101" s="382">
        <f>AG101+AG100</f>
        <v>17418</v>
      </c>
      <c r="AI101" s="382">
        <f t="shared" si="72"/>
        <v>341</v>
      </c>
      <c r="AJ101" s="1163"/>
      <c r="AK101" s="364">
        <f t="shared" si="73"/>
        <v>0.13289036544850499</v>
      </c>
      <c r="AL101" s="365">
        <f t="shared" si="64"/>
        <v>0.19153475567790779</v>
      </c>
    </row>
    <row r="102" spans="1:38" ht="14.25" x14ac:dyDescent="0.65">
      <c r="A102" s="1161"/>
      <c r="B102" s="909" t="s">
        <v>473</v>
      </c>
      <c r="C102" s="342">
        <v>1116</v>
      </c>
      <c r="D102" s="343">
        <v>0</v>
      </c>
      <c r="E102" s="344">
        <v>0</v>
      </c>
      <c r="F102" s="345">
        <v>1420</v>
      </c>
      <c r="G102" s="382">
        <f>F102+F101+F100</f>
        <v>18607</v>
      </c>
      <c r="H102" s="382">
        <v>109</v>
      </c>
      <c r="I102" s="1163"/>
      <c r="J102" s="391">
        <f t="shared" si="65"/>
        <v>-7.6271186440677971E-2</v>
      </c>
      <c r="K102" s="365">
        <f t="shared" si="66"/>
        <v>-0.14868105515587529</v>
      </c>
      <c r="M102" s="342">
        <v>2</v>
      </c>
      <c r="N102" s="343">
        <v>0</v>
      </c>
      <c r="O102" s="344">
        <v>0</v>
      </c>
      <c r="P102" s="345">
        <v>3</v>
      </c>
      <c r="Q102" s="382">
        <f>P102+P101+P100</f>
        <v>234</v>
      </c>
      <c r="R102" s="382">
        <v>2</v>
      </c>
      <c r="S102" s="1163"/>
      <c r="T102" s="364">
        <f>(R102-R89)/R89</f>
        <v>-0.6</v>
      </c>
      <c r="U102" s="365">
        <f t="shared" si="68"/>
        <v>-0.8</v>
      </c>
      <c r="AD102" s="342">
        <f>M102+C102</f>
        <v>1118</v>
      </c>
      <c r="AE102" s="399">
        <f t="shared" si="69"/>
        <v>0</v>
      </c>
      <c r="AF102" s="402">
        <f t="shared" si="70"/>
        <v>0</v>
      </c>
      <c r="AG102" s="345">
        <f t="shared" si="71"/>
        <v>1423</v>
      </c>
      <c r="AH102" s="382">
        <f>AG102+AG101+AG100</f>
        <v>18841</v>
      </c>
      <c r="AI102" s="382">
        <f t="shared" si="72"/>
        <v>111</v>
      </c>
      <c r="AJ102" s="1163"/>
      <c r="AK102" s="364">
        <f t="shared" si="73"/>
        <v>-9.7560975609756101E-2</v>
      </c>
      <c r="AL102" s="365">
        <f t="shared" si="64"/>
        <v>-0.15448603683897802</v>
      </c>
    </row>
    <row r="103" spans="1:38" ht="14.25" x14ac:dyDescent="0.65">
      <c r="A103" s="1161"/>
      <c r="B103" s="341" t="s">
        <v>475</v>
      </c>
      <c r="C103" s="342">
        <v>80</v>
      </c>
      <c r="D103" s="343">
        <v>0</v>
      </c>
      <c r="E103" s="344">
        <v>0</v>
      </c>
      <c r="F103" s="345">
        <v>102</v>
      </c>
      <c r="G103" s="382">
        <f>SUM(F100:F103)</f>
        <v>18709</v>
      </c>
      <c r="H103" s="382">
        <v>4</v>
      </c>
      <c r="I103" s="1163"/>
      <c r="J103" s="391">
        <f t="shared" si="65"/>
        <v>3</v>
      </c>
      <c r="K103" s="365">
        <f t="shared" si="66"/>
        <v>1.04</v>
      </c>
      <c r="M103" s="342">
        <v>934</v>
      </c>
      <c r="N103" s="343">
        <v>0</v>
      </c>
      <c r="O103" s="344">
        <v>0</v>
      </c>
      <c r="P103" s="345">
        <v>1200</v>
      </c>
      <c r="Q103" s="382">
        <f>SUM(P100:P103)</f>
        <v>1434</v>
      </c>
      <c r="R103" s="382">
        <v>132</v>
      </c>
      <c r="S103" s="1163"/>
      <c r="T103" s="364">
        <f t="shared" ref="T103" si="74">(R103-R90)/R90</f>
        <v>-8.9655172413793102E-2</v>
      </c>
      <c r="U103" s="365">
        <f t="shared" si="68"/>
        <v>-8.2644628099173556E-3</v>
      </c>
      <c r="AD103" s="342">
        <f t="shared" ref="AD103:AD110" si="75">M103+C103</f>
        <v>1014</v>
      </c>
      <c r="AE103" s="399">
        <f t="shared" si="69"/>
        <v>0</v>
      </c>
      <c r="AF103" s="402">
        <f t="shared" si="70"/>
        <v>0</v>
      </c>
      <c r="AG103" s="345">
        <f>P103+F103</f>
        <v>1302</v>
      </c>
      <c r="AH103" s="382">
        <f>SUM(AG100:AG103)</f>
        <v>20143</v>
      </c>
      <c r="AI103" s="382">
        <f t="shared" si="72"/>
        <v>136</v>
      </c>
      <c r="AJ103" s="1163"/>
      <c r="AK103" s="364">
        <f t="shared" si="73"/>
        <v>-6.8493150684931503E-2</v>
      </c>
      <c r="AL103" s="365">
        <f t="shared" si="64"/>
        <v>3.3333333333333333E-2</v>
      </c>
    </row>
    <row r="104" spans="1:38" ht="14.25" x14ac:dyDescent="0.65">
      <c r="A104" s="1161"/>
      <c r="B104" s="375" t="s">
        <v>477</v>
      </c>
      <c r="C104" s="342">
        <f>SUM(C100:C103)</f>
        <v>14782</v>
      </c>
      <c r="D104" s="343">
        <v>0</v>
      </c>
      <c r="E104" s="344">
        <v>0</v>
      </c>
      <c r="F104" s="345">
        <f>SUM(F100:F103)</f>
        <v>18709</v>
      </c>
      <c r="G104" s="382">
        <f>SUM(F104)</f>
        <v>18709</v>
      </c>
      <c r="H104" s="382">
        <f>SUM(H100:H103)</f>
        <v>446</v>
      </c>
      <c r="I104" s="1163"/>
      <c r="J104" s="391">
        <f t="shared" si="65"/>
        <v>9.0464547677261614E-2</v>
      </c>
      <c r="K104" s="365">
        <f t="shared" si="66"/>
        <v>0.16147256021852496</v>
      </c>
      <c r="M104" s="342">
        <f>SUM(M100:M103)</f>
        <v>1120</v>
      </c>
      <c r="N104" s="343">
        <v>0</v>
      </c>
      <c r="O104" s="344">
        <v>0</v>
      </c>
      <c r="P104" s="345">
        <f>SUM(P100:P103)</f>
        <v>1434</v>
      </c>
      <c r="Q104" s="382">
        <f>SUM(P104)</f>
        <v>1434</v>
      </c>
      <c r="R104" s="382">
        <f>SUM(R100:R103)</f>
        <v>144</v>
      </c>
      <c r="S104" s="1163"/>
      <c r="T104" s="364">
        <f>(R104-R91)/R91</f>
        <v>-0.1111111111111111</v>
      </c>
      <c r="U104" s="365">
        <f t="shared" si="68"/>
        <v>2.7956989247311829E-2</v>
      </c>
      <c r="AD104" s="342">
        <f t="shared" si="75"/>
        <v>15902</v>
      </c>
      <c r="AE104" s="399">
        <f t="shared" si="69"/>
        <v>0</v>
      </c>
      <c r="AF104" s="402">
        <f t="shared" si="70"/>
        <v>0</v>
      </c>
      <c r="AG104" s="345">
        <f>P104+F104</f>
        <v>20143</v>
      </c>
      <c r="AH104" s="382">
        <f>SUM(AG104)</f>
        <v>20143</v>
      </c>
      <c r="AI104" s="382">
        <f t="shared" si="72"/>
        <v>590</v>
      </c>
      <c r="AJ104" s="1163"/>
      <c r="AK104" s="364">
        <f t="shared" si="73"/>
        <v>3.3274956217162872E-2</v>
      </c>
      <c r="AL104" s="365">
        <f t="shared" si="64"/>
        <v>0.15083128606524596</v>
      </c>
    </row>
    <row r="105" spans="1:38" ht="14.25" x14ac:dyDescent="0.65">
      <c r="A105" s="1161"/>
      <c r="B105" s="341" t="s">
        <v>479</v>
      </c>
      <c r="C105" s="342">
        <v>56</v>
      </c>
      <c r="D105" s="343">
        <v>0</v>
      </c>
      <c r="E105" s="344">
        <v>0</v>
      </c>
      <c r="F105" s="345">
        <v>71</v>
      </c>
      <c r="G105" s="382">
        <f>F104+F105</f>
        <v>18780</v>
      </c>
      <c r="H105" s="382">
        <v>4</v>
      </c>
      <c r="I105" s="1163"/>
      <c r="J105" s="391" t="e">
        <f>(H105-H92)/H92</f>
        <v>#DIV/0!</v>
      </c>
      <c r="K105" s="365" t="e">
        <f t="shared" si="66"/>
        <v>#DIV/0!</v>
      </c>
      <c r="M105" s="342">
        <v>222</v>
      </c>
      <c r="N105" s="343">
        <v>0</v>
      </c>
      <c r="O105" s="344">
        <v>0</v>
      </c>
      <c r="P105" s="345">
        <v>281</v>
      </c>
      <c r="Q105" s="382">
        <f>P104+P105</f>
        <v>1715</v>
      </c>
      <c r="R105" s="382">
        <v>14</v>
      </c>
      <c r="S105" s="1163"/>
      <c r="T105" s="364">
        <f t="shared" ref="T105:T106" si="76">(R105-R92)/R92</f>
        <v>1.8</v>
      </c>
      <c r="U105" s="365">
        <f t="shared" si="68"/>
        <v>-3.1034482758620689E-2</v>
      </c>
      <c r="AD105" s="342">
        <f t="shared" si="75"/>
        <v>278</v>
      </c>
      <c r="AE105" s="399">
        <f t="shared" si="69"/>
        <v>0</v>
      </c>
      <c r="AF105" s="402">
        <f t="shared" si="70"/>
        <v>0</v>
      </c>
      <c r="AG105" s="345">
        <f t="shared" ref="AG105:AG111" si="77">P105+F105</f>
        <v>352</v>
      </c>
      <c r="AH105" s="382">
        <f>AG104+AG105</f>
        <v>20495</v>
      </c>
      <c r="AI105" s="382">
        <f t="shared" si="72"/>
        <v>18</v>
      </c>
      <c r="AJ105" s="1163"/>
      <c r="AK105" s="364">
        <f t="shared" si="73"/>
        <v>2.6</v>
      </c>
      <c r="AL105" s="365">
        <f t="shared" si="64"/>
        <v>0.21379310344827587</v>
      </c>
    </row>
    <row r="106" spans="1:38" ht="14.25" x14ac:dyDescent="0.65">
      <c r="A106" s="1161"/>
      <c r="B106" s="341" t="s">
        <v>480</v>
      </c>
      <c r="C106" s="342">
        <v>22878</v>
      </c>
      <c r="D106" s="343">
        <v>0</v>
      </c>
      <c r="E106" s="344">
        <v>0</v>
      </c>
      <c r="F106" s="345">
        <v>28399</v>
      </c>
      <c r="G106" s="382">
        <f>F106+F105+F104</f>
        <v>47179</v>
      </c>
      <c r="H106" s="382">
        <v>166</v>
      </c>
      <c r="I106" s="1163"/>
      <c r="J106" s="391">
        <f t="shared" ref="J106:J109" si="78">(H106-H93)/H93</f>
        <v>0.50909090909090904</v>
      </c>
      <c r="K106" s="365">
        <f t="shared" si="66"/>
        <v>0.49232790331056225</v>
      </c>
      <c r="M106" s="342">
        <v>2950</v>
      </c>
      <c r="N106" s="343">
        <v>0</v>
      </c>
      <c r="O106" s="344">
        <v>0</v>
      </c>
      <c r="P106" s="345">
        <v>3717</v>
      </c>
      <c r="Q106" s="382">
        <f>P106+P105+P104</f>
        <v>5432</v>
      </c>
      <c r="R106" s="382">
        <v>80</v>
      </c>
      <c r="S106" s="1163"/>
      <c r="T106" s="364">
        <f t="shared" si="76"/>
        <v>0.15942028985507245</v>
      </c>
      <c r="U106" s="365">
        <f t="shared" si="68"/>
        <v>0.27294520547945206</v>
      </c>
      <c r="AD106" s="342">
        <f t="shared" si="75"/>
        <v>25828</v>
      </c>
      <c r="AE106" s="399">
        <f t="shared" si="69"/>
        <v>0</v>
      </c>
      <c r="AF106" s="402">
        <f t="shared" si="70"/>
        <v>0</v>
      </c>
      <c r="AG106" s="345">
        <f t="shared" si="77"/>
        <v>32116</v>
      </c>
      <c r="AH106" s="382">
        <f>AG106+AG105+AG104</f>
        <v>52611</v>
      </c>
      <c r="AI106" s="382">
        <f>R106+H106</f>
        <v>246</v>
      </c>
      <c r="AJ106" s="1163"/>
      <c r="AK106" s="364">
        <f t="shared" si="73"/>
        <v>0.37430167597765363</v>
      </c>
      <c r="AL106" s="365">
        <f t="shared" si="64"/>
        <v>0.46314350797266512</v>
      </c>
    </row>
    <row r="107" spans="1:38" ht="14.25" x14ac:dyDescent="0.65">
      <c r="A107" s="1161"/>
      <c r="B107" s="341" t="s">
        <v>483</v>
      </c>
      <c r="C107" s="342">
        <f>C106+C105</f>
        <v>22934</v>
      </c>
      <c r="D107" s="343">
        <v>0</v>
      </c>
      <c r="E107" s="344">
        <v>0</v>
      </c>
      <c r="F107" s="345">
        <v>28399</v>
      </c>
      <c r="G107" s="382">
        <f>F107+F104</f>
        <v>47108</v>
      </c>
      <c r="H107" s="382">
        <v>166</v>
      </c>
      <c r="I107" s="1163"/>
      <c r="J107" s="391">
        <f t="shared" si="78"/>
        <v>0.50909090909090904</v>
      </c>
      <c r="K107" s="365">
        <f t="shared" si="66"/>
        <v>0.49232790331056225</v>
      </c>
      <c r="M107" s="342">
        <f>M106+M105</f>
        <v>3172</v>
      </c>
      <c r="N107" s="343">
        <v>0</v>
      </c>
      <c r="O107" s="344">
        <v>0</v>
      </c>
      <c r="P107" s="345">
        <f>SUM(P105:P106)</f>
        <v>3998</v>
      </c>
      <c r="Q107" s="382">
        <f>P107+P104</f>
        <v>5432</v>
      </c>
      <c r="R107" s="382">
        <f>R106+R105</f>
        <v>94</v>
      </c>
      <c r="S107" s="1163"/>
      <c r="T107" s="364">
        <f>(R107-R94)/R94</f>
        <v>0.27027027027027029</v>
      </c>
      <c r="U107" s="365">
        <f t="shared" si="68"/>
        <v>0.24548286604361372</v>
      </c>
      <c r="AD107" s="342">
        <f t="shared" si="75"/>
        <v>26106</v>
      </c>
      <c r="AE107" s="399">
        <f t="shared" si="69"/>
        <v>0</v>
      </c>
      <c r="AF107" s="402">
        <f t="shared" si="70"/>
        <v>0</v>
      </c>
      <c r="AG107" s="345">
        <f t="shared" si="77"/>
        <v>32397</v>
      </c>
      <c r="AH107" s="382">
        <f>AG107+AG104</f>
        <v>52540</v>
      </c>
      <c r="AI107" s="382">
        <f t="shared" ref="AI107:AI112" si="79">R107+H107</f>
        <v>260</v>
      </c>
      <c r="AJ107" s="1163"/>
      <c r="AK107" s="364">
        <f t="shared" si="73"/>
        <v>0.41304347826086957</v>
      </c>
      <c r="AL107" s="365">
        <f t="shared" si="64"/>
        <v>0.45669964028776977</v>
      </c>
    </row>
    <row r="108" spans="1:38" ht="14.25" x14ac:dyDescent="0.65">
      <c r="A108" s="1161"/>
      <c r="B108" s="341" t="s">
        <v>486</v>
      </c>
      <c r="C108" s="342">
        <f>C104+C107</f>
        <v>37716</v>
      </c>
      <c r="D108" s="384">
        <v>0</v>
      </c>
      <c r="E108" s="385">
        <v>0</v>
      </c>
      <c r="F108" s="345">
        <v>47180</v>
      </c>
      <c r="G108" s="382">
        <f>F108</f>
        <v>47180</v>
      </c>
      <c r="H108" s="382">
        <f>H107+H104</f>
        <v>612</v>
      </c>
      <c r="I108" s="1163"/>
      <c r="J108" s="391">
        <f t="shared" si="78"/>
        <v>0.1791907514450867</v>
      </c>
      <c r="K108" s="365">
        <f t="shared" si="66"/>
        <v>0.34270590244180088</v>
      </c>
      <c r="M108" s="342">
        <f>M107+M104</f>
        <v>4292</v>
      </c>
      <c r="N108" s="384">
        <v>0</v>
      </c>
      <c r="O108" s="385">
        <v>0</v>
      </c>
      <c r="P108" s="345">
        <f>P107+P104</f>
        <v>5432</v>
      </c>
      <c r="Q108" s="382">
        <f>P108</f>
        <v>5432</v>
      </c>
      <c r="R108" s="382">
        <f>R107+R104</f>
        <v>238</v>
      </c>
      <c r="S108" s="1163"/>
      <c r="T108" s="364">
        <f t="shared" ref="T108:T110" si="80">(R108-R95)/R95</f>
        <v>8.4745762711864406E-3</v>
      </c>
      <c r="U108" s="365">
        <f>(P108-P95)/P95</f>
        <v>0.17958740499457113</v>
      </c>
      <c r="AD108" s="342">
        <f t="shared" si="75"/>
        <v>42008</v>
      </c>
      <c r="AE108" s="399">
        <f t="shared" si="69"/>
        <v>0</v>
      </c>
      <c r="AF108" s="402">
        <f t="shared" si="70"/>
        <v>0</v>
      </c>
      <c r="AG108" s="345">
        <f t="shared" si="77"/>
        <v>52612</v>
      </c>
      <c r="AH108" s="382">
        <f>AG108</f>
        <v>52612</v>
      </c>
      <c r="AI108" s="382">
        <f t="shared" si="79"/>
        <v>850</v>
      </c>
      <c r="AJ108" s="1163"/>
      <c r="AK108" s="364">
        <f t="shared" si="73"/>
        <v>0.12582781456953643</v>
      </c>
      <c r="AL108" s="365">
        <f>(AG108-AG95)/AG95</f>
        <v>0.32380545001635508</v>
      </c>
    </row>
    <row r="109" spans="1:38" ht="14.25" x14ac:dyDescent="0.65">
      <c r="A109" s="1161"/>
      <c r="B109" s="341" t="s">
        <v>10</v>
      </c>
      <c r="C109" s="342">
        <v>2548</v>
      </c>
      <c r="D109" s="343">
        <v>0</v>
      </c>
      <c r="E109" s="344">
        <v>0</v>
      </c>
      <c r="F109" s="345">
        <v>3246</v>
      </c>
      <c r="G109" s="382">
        <f>F108+F109</f>
        <v>50426</v>
      </c>
      <c r="H109" s="382">
        <v>67</v>
      </c>
      <c r="I109" s="1163"/>
      <c r="J109" s="391">
        <f t="shared" si="78"/>
        <v>-4.2857142857142858E-2</v>
      </c>
      <c r="K109" s="365">
        <f t="shared" si="66"/>
        <v>0.65612244897959182</v>
      </c>
      <c r="M109" s="342">
        <v>5132</v>
      </c>
      <c r="N109" s="343">
        <v>0</v>
      </c>
      <c r="O109" s="344">
        <v>0</v>
      </c>
      <c r="P109" s="345">
        <v>6540</v>
      </c>
      <c r="Q109" s="382">
        <f>P108+P109</f>
        <v>11972</v>
      </c>
      <c r="R109" s="382">
        <v>333</v>
      </c>
      <c r="S109" s="1163"/>
      <c r="T109" s="364">
        <f t="shared" si="80"/>
        <v>7.4193548387096769E-2</v>
      </c>
      <c r="U109" s="365">
        <f t="shared" ref="U109:U112" si="81">(P109-P96)/P96</f>
        <v>-0.13606340819022458</v>
      </c>
      <c r="AD109" s="342">
        <f t="shared" si="75"/>
        <v>7680</v>
      </c>
      <c r="AE109" s="399">
        <f t="shared" si="69"/>
        <v>0</v>
      </c>
      <c r="AF109" s="402">
        <f t="shared" si="70"/>
        <v>0</v>
      </c>
      <c r="AG109" s="345">
        <f t="shared" si="77"/>
        <v>9786</v>
      </c>
      <c r="AH109" s="382">
        <f>AG108+AG109</f>
        <v>62398</v>
      </c>
      <c r="AI109" s="382">
        <f t="shared" si="79"/>
        <v>400</v>
      </c>
      <c r="AJ109" s="1163"/>
      <c r="AK109" s="364">
        <f t="shared" si="73"/>
        <v>5.2631578947368418E-2</v>
      </c>
      <c r="AL109" s="365">
        <f t="shared" ref="AL109:AL112" si="82">(AG109-AG96)/AG96</f>
        <v>2.6862539349422874E-2</v>
      </c>
    </row>
    <row r="110" spans="1:38" ht="14.25" x14ac:dyDescent="0.65">
      <c r="A110" s="1161"/>
      <c r="B110" s="341" t="s">
        <v>498</v>
      </c>
      <c r="C110" s="342">
        <v>0</v>
      </c>
      <c r="D110" s="343">
        <v>0</v>
      </c>
      <c r="E110" s="344">
        <v>0</v>
      </c>
      <c r="F110" s="345">
        <v>0</v>
      </c>
      <c r="G110" s="382">
        <f>SUM(F108:F110)</f>
        <v>50426</v>
      </c>
      <c r="H110" s="382">
        <v>0</v>
      </c>
      <c r="I110" s="1163"/>
      <c r="J110" s="391">
        <f>IFERROR((H110-H97)/H97,0)</f>
        <v>0</v>
      </c>
      <c r="K110" s="365" t="e">
        <f t="shared" si="66"/>
        <v>#DIV/0!</v>
      </c>
      <c r="M110" s="342">
        <v>786</v>
      </c>
      <c r="N110" s="343">
        <v>0</v>
      </c>
      <c r="O110" s="344">
        <v>0</v>
      </c>
      <c r="P110" s="345">
        <v>984</v>
      </c>
      <c r="Q110" s="382">
        <f>SUM(P108:P110)</f>
        <v>12956</v>
      </c>
      <c r="R110" s="382">
        <v>4387</v>
      </c>
      <c r="S110" s="1163"/>
      <c r="T110" s="364">
        <f t="shared" si="80"/>
        <v>0.10810810810810811</v>
      </c>
      <c r="U110" s="365">
        <f t="shared" si="81"/>
        <v>4.0816326530612249E-3</v>
      </c>
      <c r="AD110" s="342">
        <f t="shared" si="75"/>
        <v>786</v>
      </c>
      <c r="AE110" s="399">
        <f t="shared" si="69"/>
        <v>0</v>
      </c>
      <c r="AF110" s="402">
        <f t="shared" si="70"/>
        <v>0</v>
      </c>
      <c r="AG110" s="345">
        <f t="shared" si="77"/>
        <v>984</v>
      </c>
      <c r="AH110" s="382">
        <f>SUM(AG108:AG110)</f>
        <v>63382</v>
      </c>
      <c r="AI110" s="382">
        <f t="shared" si="79"/>
        <v>4387</v>
      </c>
      <c r="AJ110" s="1163"/>
      <c r="AK110" s="364">
        <f>(AI110-AI97)/AI97</f>
        <v>0.10810810810810811</v>
      </c>
      <c r="AL110" s="365">
        <f t="shared" si="82"/>
        <v>4.0816326530612249E-3</v>
      </c>
    </row>
    <row r="111" spans="1:38" ht="15" thickBot="1" x14ac:dyDescent="0.8">
      <c r="A111" s="1227"/>
      <c r="B111" s="341" t="s">
        <v>500</v>
      </c>
      <c r="C111" s="350">
        <v>225</v>
      </c>
      <c r="D111" s="351">
        <v>0</v>
      </c>
      <c r="E111" s="352">
        <v>0</v>
      </c>
      <c r="F111" s="386">
        <v>284</v>
      </c>
      <c r="G111" s="382">
        <f>SUM(F108:F111)</f>
        <v>50710</v>
      </c>
      <c r="H111" s="382">
        <v>14</v>
      </c>
      <c r="I111" s="1163"/>
      <c r="J111" s="392">
        <f t="shared" ref="J111:J112" si="83">(H111-H98)/H98</f>
        <v>-0.5</v>
      </c>
      <c r="K111" s="369">
        <f t="shared" si="66"/>
        <v>-0.70721649484536087</v>
      </c>
      <c r="M111" s="350">
        <v>560</v>
      </c>
      <c r="N111" s="351">
        <v>0</v>
      </c>
      <c r="O111" s="352">
        <v>0</v>
      </c>
      <c r="P111" s="386">
        <v>706</v>
      </c>
      <c r="Q111" s="382">
        <f>SUM(P108:P111)</f>
        <v>13662</v>
      </c>
      <c r="R111" s="382">
        <v>44</v>
      </c>
      <c r="S111" s="1163"/>
      <c r="T111" s="368">
        <f>(R111-R98)/R98</f>
        <v>-0.10204081632653061</v>
      </c>
      <c r="U111" s="369">
        <f t="shared" si="81"/>
        <v>-0.48088235294117648</v>
      </c>
      <c r="AD111" s="350">
        <f>M111+C111</f>
        <v>785</v>
      </c>
      <c r="AE111" s="400">
        <f t="shared" si="69"/>
        <v>0</v>
      </c>
      <c r="AF111" s="403">
        <f t="shared" si="70"/>
        <v>0</v>
      </c>
      <c r="AG111" s="386">
        <f t="shared" si="77"/>
        <v>990</v>
      </c>
      <c r="AH111" s="382">
        <f>SUM(AG108:AG111)</f>
        <v>64372</v>
      </c>
      <c r="AI111" s="382">
        <f t="shared" si="79"/>
        <v>58</v>
      </c>
      <c r="AJ111" s="1163"/>
      <c r="AK111" s="368">
        <f>(AI111-AI98)/AI98</f>
        <v>-0.24675324675324675</v>
      </c>
      <c r="AL111" s="369">
        <f t="shared" si="82"/>
        <v>-0.57510729613733902</v>
      </c>
    </row>
    <row r="112" spans="1:38" ht="15" thickBot="1" x14ac:dyDescent="0.75">
      <c r="A112" s="354" t="s">
        <v>552</v>
      </c>
      <c r="B112" s="355">
        <f>A100</f>
        <v>2023</v>
      </c>
      <c r="C112" s="356">
        <f>SUM(C108:C111)</f>
        <v>40489</v>
      </c>
      <c r="D112" s="387">
        <f>SUM(D108:D111)</f>
        <v>0</v>
      </c>
      <c r="E112" s="387">
        <f>SUM(E108:E111)</f>
        <v>0</v>
      </c>
      <c r="F112" s="356">
        <f>SUM(F108:F111)</f>
        <v>50710</v>
      </c>
      <c r="G112" s="357">
        <f>G111</f>
        <v>50710</v>
      </c>
      <c r="H112" s="357">
        <f>SUM(H108:H111)</f>
        <v>693</v>
      </c>
      <c r="I112" s="1164"/>
      <c r="J112" s="372">
        <f t="shared" si="83"/>
        <v>0.12317666126418152</v>
      </c>
      <c r="K112" s="373">
        <f t="shared" si="66"/>
        <v>0.33208994431018179</v>
      </c>
      <c r="M112" s="356">
        <f>SUM(M108:M111)</f>
        <v>10770</v>
      </c>
      <c r="N112" s="387">
        <f>SUM(N108:N111)</f>
        <v>0</v>
      </c>
      <c r="O112" s="387">
        <f>SUM(O108:O111)</f>
        <v>0</v>
      </c>
      <c r="P112" s="356">
        <f>SUM(P108:P111)</f>
        <v>13662</v>
      </c>
      <c r="Q112" s="357">
        <f>Q111</f>
        <v>13662</v>
      </c>
      <c r="R112" s="357">
        <f>SUM(R108:R111)</f>
        <v>5002</v>
      </c>
      <c r="S112" s="1164"/>
      <c r="T112" s="372">
        <f>(R112-R99)/R99</f>
        <v>9.8375054896794031E-2</v>
      </c>
      <c r="U112" s="373">
        <f t="shared" si="81"/>
        <v>-5.8766792972786773E-2</v>
      </c>
      <c r="AD112" s="356">
        <f>M112+C112</f>
        <v>51259</v>
      </c>
      <c r="AE112" s="715">
        <f t="shared" si="69"/>
        <v>0</v>
      </c>
      <c r="AF112" s="716">
        <f t="shared" si="70"/>
        <v>0</v>
      </c>
      <c r="AG112" s="357">
        <f>SUM(AG108:AG111)</f>
        <v>64372</v>
      </c>
      <c r="AH112" s="357">
        <f>AH111</f>
        <v>64372</v>
      </c>
      <c r="AI112" s="357">
        <f t="shared" si="79"/>
        <v>5695</v>
      </c>
      <c r="AJ112" s="1164"/>
      <c r="AK112" s="372">
        <f>(AI112-AI99)/AI99</f>
        <v>0.10133436472635854</v>
      </c>
      <c r="AL112" s="373">
        <f t="shared" si="82"/>
        <v>0.22419793469372232</v>
      </c>
    </row>
    <row r="114" spans="4:33" x14ac:dyDescent="0.6">
      <c r="O114">
        <f>M64/O64</f>
        <v>25345.622119815667</v>
      </c>
    </row>
    <row r="115" spans="4:33" x14ac:dyDescent="0.6">
      <c r="O115">
        <f>M65/O65</f>
        <v>25315.227934044618</v>
      </c>
    </row>
    <row r="117" spans="4:33" x14ac:dyDescent="0.6">
      <c r="O117">
        <f t="shared" ref="O117:O123" si="84">M67/O67</f>
        <v>27400</v>
      </c>
    </row>
    <row r="118" spans="4:33" x14ac:dyDescent="0.6">
      <c r="O118">
        <f t="shared" si="84"/>
        <v>27400</v>
      </c>
    </row>
    <row r="119" spans="4:33" x14ac:dyDescent="0.6">
      <c r="O119">
        <f t="shared" si="84"/>
        <v>25897.973445143256</v>
      </c>
    </row>
    <row r="120" spans="4:33" x14ac:dyDescent="0.6">
      <c r="O120">
        <f t="shared" si="84"/>
        <v>24428.969359331477</v>
      </c>
    </row>
    <row r="121" spans="4:33" x14ac:dyDescent="0.6">
      <c r="O121">
        <f t="shared" si="84"/>
        <v>23066.666666666668</v>
      </c>
    </row>
    <row r="122" spans="4:33" x14ac:dyDescent="0.6">
      <c r="O122">
        <f t="shared" si="84"/>
        <v>41090.909090909088</v>
      </c>
    </row>
    <row r="123" spans="4:33" x14ac:dyDescent="0.6">
      <c r="O123">
        <f t="shared" si="84"/>
        <v>25207.228654907478</v>
      </c>
    </row>
    <row r="128" spans="4:33" x14ac:dyDescent="0.6">
      <c r="D128" t="s">
        <v>960</v>
      </c>
      <c r="E128" t="s">
        <v>961</v>
      </c>
      <c r="N128" t="s">
        <v>960</v>
      </c>
      <c r="O128" t="s">
        <v>961</v>
      </c>
      <c r="AF128" t="s">
        <v>960</v>
      </c>
      <c r="AG128" t="s">
        <v>961</v>
      </c>
    </row>
    <row r="129" spans="3:34" x14ac:dyDescent="0.6">
      <c r="C129">
        <v>2017</v>
      </c>
      <c r="D129">
        <v>30390</v>
      </c>
      <c r="E129">
        <v>24460</v>
      </c>
      <c r="F129">
        <f>D129-E129</f>
        <v>5930</v>
      </c>
      <c r="M129">
        <v>2017</v>
      </c>
      <c r="N129">
        <v>12720</v>
      </c>
      <c r="O129">
        <v>10140</v>
      </c>
      <c r="P129">
        <f>N129-O129</f>
        <v>2580</v>
      </c>
      <c r="AE129">
        <v>2017</v>
      </c>
      <c r="AF129">
        <f t="shared" ref="AF129:AH135" si="85">D129+N129</f>
        <v>43110</v>
      </c>
      <c r="AG129">
        <f t="shared" si="85"/>
        <v>34600</v>
      </c>
      <c r="AH129">
        <f t="shared" si="85"/>
        <v>8510</v>
      </c>
    </row>
    <row r="130" spans="3:34" x14ac:dyDescent="0.6">
      <c r="C130">
        <v>2018</v>
      </c>
      <c r="D130">
        <v>33660</v>
      </c>
      <c r="E130">
        <v>27100</v>
      </c>
      <c r="F130">
        <f t="shared" ref="F130:F135" si="86">D130-E130</f>
        <v>6560</v>
      </c>
      <c r="M130">
        <v>2018</v>
      </c>
      <c r="N130">
        <v>15890</v>
      </c>
      <c r="O130">
        <v>12650</v>
      </c>
      <c r="P130">
        <f t="shared" ref="P130:P135" si="87">N130-O130</f>
        <v>3240</v>
      </c>
      <c r="AE130">
        <v>2018</v>
      </c>
      <c r="AF130">
        <f t="shared" si="85"/>
        <v>49550</v>
      </c>
      <c r="AG130">
        <f t="shared" si="85"/>
        <v>39750</v>
      </c>
      <c r="AH130">
        <f t="shared" si="85"/>
        <v>9800</v>
      </c>
    </row>
    <row r="131" spans="3:34" x14ac:dyDescent="0.6">
      <c r="C131">
        <v>2019</v>
      </c>
      <c r="D131">
        <v>41420</v>
      </c>
      <c r="E131">
        <v>33370</v>
      </c>
      <c r="F131">
        <f t="shared" si="86"/>
        <v>8050</v>
      </c>
      <c r="M131">
        <v>2019</v>
      </c>
      <c r="N131">
        <v>17880</v>
      </c>
      <c r="O131">
        <v>14070</v>
      </c>
      <c r="P131">
        <f t="shared" si="87"/>
        <v>3810</v>
      </c>
      <c r="AE131">
        <v>2019</v>
      </c>
      <c r="AF131">
        <f t="shared" si="85"/>
        <v>59300</v>
      </c>
      <c r="AG131">
        <f t="shared" si="85"/>
        <v>47440</v>
      </c>
      <c r="AH131">
        <f t="shared" si="85"/>
        <v>11860</v>
      </c>
    </row>
    <row r="132" spans="3:34" x14ac:dyDescent="0.6">
      <c r="C132">
        <v>2020</v>
      </c>
      <c r="D132">
        <v>29520</v>
      </c>
      <c r="E132">
        <v>23550</v>
      </c>
      <c r="F132">
        <f t="shared" si="86"/>
        <v>5970</v>
      </c>
      <c r="M132">
        <v>2020</v>
      </c>
      <c r="N132">
        <v>14670</v>
      </c>
      <c r="O132">
        <v>11530</v>
      </c>
      <c r="P132">
        <f t="shared" si="87"/>
        <v>3140</v>
      </c>
      <c r="AE132">
        <v>2020</v>
      </c>
      <c r="AF132">
        <f t="shared" si="85"/>
        <v>44190</v>
      </c>
      <c r="AG132">
        <f t="shared" si="85"/>
        <v>35080</v>
      </c>
      <c r="AH132">
        <f t="shared" si="85"/>
        <v>9110</v>
      </c>
    </row>
    <row r="133" spans="3:34" x14ac:dyDescent="0.6">
      <c r="C133">
        <v>2021</v>
      </c>
      <c r="D133">
        <v>24890</v>
      </c>
      <c r="E133">
        <v>19980</v>
      </c>
      <c r="F133">
        <f t="shared" si="86"/>
        <v>4910</v>
      </c>
      <c r="M133">
        <v>2021</v>
      </c>
      <c r="N133">
        <v>10830</v>
      </c>
      <c r="O133">
        <v>8650</v>
      </c>
      <c r="P133">
        <f t="shared" si="87"/>
        <v>2180</v>
      </c>
      <c r="AE133">
        <v>2021</v>
      </c>
      <c r="AF133">
        <f t="shared" si="85"/>
        <v>35720</v>
      </c>
      <c r="AG133">
        <f t="shared" si="85"/>
        <v>28630</v>
      </c>
      <c r="AH133">
        <f t="shared" si="85"/>
        <v>7090</v>
      </c>
    </row>
    <row r="134" spans="3:34" x14ac:dyDescent="0.6">
      <c r="C134">
        <v>2022</v>
      </c>
      <c r="D134">
        <v>38210</v>
      </c>
      <c r="E134">
        <v>30910</v>
      </c>
      <c r="F134">
        <f t="shared" si="86"/>
        <v>7300</v>
      </c>
      <c r="M134">
        <v>2022</v>
      </c>
      <c r="N134">
        <v>14520</v>
      </c>
      <c r="O134">
        <v>11570</v>
      </c>
      <c r="P134">
        <f t="shared" si="87"/>
        <v>2950</v>
      </c>
      <c r="AE134">
        <v>2022</v>
      </c>
      <c r="AF134">
        <f t="shared" si="85"/>
        <v>52730</v>
      </c>
      <c r="AG134">
        <f t="shared" si="85"/>
        <v>42480</v>
      </c>
      <c r="AH134">
        <f t="shared" si="85"/>
        <v>10250</v>
      </c>
    </row>
    <row r="135" spans="3:34" x14ac:dyDescent="0.6">
      <c r="C135">
        <v>2023</v>
      </c>
      <c r="D135">
        <v>50710</v>
      </c>
      <c r="E135">
        <v>41060</v>
      </c>
      <c r="F135">
        <f t="shared" si="86"/>
        <v>9650</v>
      </c>
      <c r="M135">
        <v>2023</v>
      </c>
      <c r="N135">
        <v>13660</v>
      </c>
      <c r="O135">
        <v>10910</v>
      </c>
      <c r="P135">
        <f t="shared" si="87"/>
        <v>2750</v>
      </c>
      <c r="AE135">
        <v>2023</v>
      </c>
      <c r="AF135">
        <f t="shared" si="85"/>
        <v>64370</v>
      </c>
      <c r="AG135">
        <f t="shared" si="85"/>
        <v>51970</v>
      </c>
      <c r="AH135">
        <f t="shared" si="85"/>
        <v>12400</v>
      </c>
    </row>
  </sheetData>
  <mergeCells count="48">
    <mergeCell ref="I22:I34"/>
    <mergeCell ref="S35:S47"/>
    <mergeCell ref="AJ35:AJ47"/>
    <mergeCell ref="A48:A59"/>
    <mergeCell ref="I48:I60"/>
    <mergeCell ref="S48:S60"/>
    <mergeCell ref="AJ48:AJ60"/>
    <mergeCell ref="S22:S34"/>
    <mergeCell ref="A61:A72"/>
    <mergeCell ref="I61:I73"/>
    <mergeCell ref="S61:S73"/>
    <mergeCell ref="AJ4:AL4"/>
    <mergeCell ref="S5:U5"/>
    <mergeCell ref="A7:B7"/>
    <mergeCell ref="AJ5:AL5"/>
    <mergeCell ref="C8:E8"/>
    <mergeCell ref="M8:O8"/>
    <mergeCell ref="AD8:AF8"/>
    <mergeCell ref="A9:A20"/>
    <mergeCell ref="AJ61:AJ73"/>
    <mergeCell ref="AJ22:AJ34"/>
    <mergeCell ref="A35:A46"/>
    <mergeCell ref="I35:I47"/>
    <mergeCell ref="A22:A33"/>
    <mergeCell ref="A74:A85"/>
    <mergeCell ref="I74:I86"/>
    <mergeCell ref="S74:S86"/>
    <mergeCell ref="AJ74:AJ86"/>
    <mergeCell ref="A2:K2"/>
    <mergeCell ref="A3:B5"/>
    <mergeCell ref="C3:K3"/>
    <mergeCell ref="M3:U3"/>
    <mergeCell ref="AD3:AL3"/>
    <mergeCell ref="G4:G6"/>
    <mergeCell ref="I4:K4"/>
    <mergeCell ref="Q4:Q6"/>
    <mergeCell ref="S4:U4"/>
    <mergeCell ref="AH4:AH6"/>
    <mergeCell ref="AI4:AI6"/>
    <mergeCell ref="R4:R6"/>
    <mergeCell ref="A100:A111"/>
    <mergeCell ref="I100:I112"/>
    <mergeCell ref="S100:S112"/>
    <mergeCell ref="AJ100:AJ112"/>
    <mergeCell ref="A87:A98"/>
    <mergeCell ref="I87:I99"/>
    <mergeCell ref="S87:S99"/>
    <mergeCell ref="AJ87:AJ99"/>
  </mergeCells>
  <hyperlinks>
    <hyperlink ref="AO16" r:id="rId1" xr:uid="{212921FB-31B9-49B4-BDDF-D7FF16614D49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58A8-CE47-4185-B369-BBF180086854}">
  <sheetPr>
    <tabColor rgb="FFFFC000"/>
    <pageSetUpPr autoPageBreaks="0"/>
  </sheetPr>
  <dimension ref="A3:AU100"/>
  <sheetViews>
    <sheetView showGridLines="0" topLeftCell="AR6" workbookViewId="0">
      <selection activeCell="BH6" sqref="BH6"/>
    </sheetView>
    <sheetView showGridLines="0" workbookViewId="1"/>
  </sheetViews>
  <sheetFormatPr defaultColWidth="9.1328125" defaultRowHeight="13" x14ac:dyDescent="0.6"/>
  <cols>
    <col min="3" max="4" width="11.26953125" customWidth="1"/>
    <col min="8" max="8" width="8" customWidth="1"/>
    <col min="13" max="13" width="11.40625" bestFit="1" customWidth="1"/>
    <col min="14" max="14" width="12.7265625" customWidth="1"/>
    <col min="15" max="15" width="15" bestFit="1" customWidth="1"/>
    <col min="16" max="16" width="13.7265625" customWidth="1"/>
    <col min="19" max="19" width="11.86328125" bestFit="1" customWidth="1"/>
    <col min="21" max="23" width="12" customWidth="1"/>
    <col min="24" max="24" width="10.1328125" customWidth="1"/>
    <col min="25" max="25" width="12.54296875" customWidth="1"/>
    <col min="27" max="27" width="10.1328125" customWidth="1"/>
    <col min="35" max="35" width="12" bestFit="1" customWidth="1"/>
    <col min="45" max="45" width="12" bestFit="1" customWidth="1"/>
  </cols>
  <sheetData>
    <row r="3" spans="1:47" ht="17.5" thickBot="1" x14ac:dyDescent="0.9">
      <c r="A3" s="1195" t="s">
        <v>451</v>
      </c>
      <c r="B3" s="1195"/>
      <c r="C3" s="1195"/>
      <c r="D3" s="1195"/>
      <c r="E3" s="1195"/>
      <c r="F3" s="1195"/>
      <c r="G3" s="1195"/>
      <c r="H3" s="1195"/>
      <c r="I3" s="308"/>
    </row>
    <row r="4" spans="1:47" ht="25.25" x14ac:dyDescent="1.05">
      <c r="A4" s="1196"/>
      <c r="B4" s="1197"/>
      <c r="C4" s="1202" t="s">
        <v>587</v>
      </c>
      <c r="D4" s="1203"/>
      <c r="E4" s="1203"/>
      <c r="F4" s="1203"/>
      <c r="G4" s="1203"/>
      <c r="H4" s="1203"/>
      <c r="I4" s="309"/>
      <c r="J4" s="309"/>
      <c r="X4" t="str">
        <f>_xlfn.XLOOKUP(""&amp;tblBrennsla[[#Headers],[2021]],Reykjavík!$A$3:$J$3,Reykjavík!$A$6:$J$6,"hættabulla",0,1)</f>
        <v>hættabulla</v>
      </c>
    </row>
    <row r="5" spans="1:47" ht="25.25" x14ac:dyDescent="1.05">
      <c r="A5" s="1198"/>
      <c r="B5" s="1199"/>
      <c r="C5" s="862"/>
      <c r="D5" s="883"/>
      <c r="E5" s="310"/>
      <c r="F5" s="884"/>
      <c r="G5" s="1208" t="s">
        <v>253</v>
      </c>
      <c r="H5" s="1209"/>
      <c r="I5" s="1209"/>
      <c r="J5" s="1209"/>
      <c r="AG5">
        <f>548000/(365*24)</f>
        <v>62.557077625570777</v>
      </c>
      <c r="AH5">
        <f>AJ10/AJ9</f>
        <v>4.5842725137866962E-2</v>
      </c>
      <c r="AI5">
        <f>AI6*AH5</f>
        <v>1.7262950888736511E-2</v>
      </c>
      <c r="AM5">
        <f>AH5*(1-AI6)</f>
        <v>2.8579774249130451E-2</v>
      </c>
      <c r="AS5">
        <f>188505*Reykjavík!J$6</f>
        <v>105632.14439216057</v>
      </c>
    </row>
    <row r="6" spans="1:47" ht="25.25" x14ac:dyDescent="1.05">
      <c r="A6" s="1200"/>
      <c r="B6" s="1201"/>
      <c r="C6" s="311"/>
      <c r="D6" s="665"/>
      <c r="E6" s="315"/>
      <c r="F6" s="668"/>
      <c r="G6" s="317"/>
      <c r="H6" s="318"/>
      <c r="I6" s="319"/>
      <c r="J6" s="319"/>
      <c r="V6">
        <v>2023</v>
      </c>
      <c r="W6">
        <v>2022</v>
      </c>
      <c r="X6">
        <v>2021</v>
      </c>
      <c r="Y6">
        <v>2020</v>
      </c>
      <c r="Z6">
        <v>2019</v>
      </c>
      <c r="AA6">
        <v>2018</v>
      </c>
      <c r="AB6">
        <v>2017</v>
      </c>
      <c r="AC6">
        <v>2016</v>
      </c>
      <c r="AG6">
        <f>4780</f>
        <v>4780</v>
      </c>
      <c r="AH6">
        <v>1800</v>
      </c>
      <c r="AI6">
        <f>AH6/AJ10</f>
        <v>0.37656903765690375</v>
      </c>
      <c r="AM6">
        <f>AH5/55*45</f>
        <v>3.7507684203709334E-2</v>
      </c>
      <c r="AN6">
        <v>0.17199999999999999</v>
      </c>
      <c r="AO6">
        <v>2.7E-2</v>
      </c>
    </row>
    <row r="7" spans="1:47" ht="14.25" x14ac:dyDescent="0.65">
      <c r="A7" s="865"/>
      <c r="B7" s="866"/>
      <c r="C7" s="320"/>
      <c r="D7" s="321"/>
      <c r="E7" s="323"/>
      <c r="F7" s="669"/>
      <c r="G7" s="324"/>
      <c r="H7" s="867"/>
      <c r="I7" s="325"/>
      <c r="J7" s="325"/>
    </row>
    <row r="8" spans="1:47" ht="14.25" x14ac:dyDescent="0.65">
      <c r="A8" s="1178" t="s">
        <v>461</v>
      </c>
      <c r="B8" s="1179"/>
      <c r="C8" s="869" t="s">
        <v>588</v>
      </c>
      <c r="D8" s="666" t="s">
        <v>589</v>
      </c>
      <c r="E8" s="326" t="s">
        <v>588</v>
      </c>
      <c r="F8" s="380"/>
      <c r="G8" s="327"/>
      <c r="H8" s="872"/>
      <c r="I8" s="663"/>
      <c r="J8" s="663"/>
      <c r="U8" s="12" t="s">
        <v>964</v>
      </c>
      <c r="V8" s="12"/>
      <c r="W8" s="12"/>
      <c r="X8" s="12"/>
      <c r="Y8" s="674"/>
      <c r="Z8" s="674"/>
      <c r="AA8" s="674"/>
      <c r="AB8" s="674"/>
      <c r="AC8" s="674"/>
      <c r="AF8" s="31"/>
      <c r="AG8" s="31">
        <v>2011</v>
      </c>
      <c r="AH8" s="31">
        <v>2013</v>
      </c>
      <c r="AI8" s="31">
        <v>2015</v>
      </c>
      <c r="AJ8" s="31">
        <v>2016</v>
      </c>
      <c r="AK8" s="31">
        <v>2017</v>
      </c>
      <c r="AL8" s="31">
        <v>2018</v>
      </c>
      <c r="AM8" s="31">
        <v>2019</v>
      </c>
      <c r="AN8" s="31">
        <v>2020</v>
      </c>
      <c r="AO8" s="31">
        <v>2021</v>
      </c>
      <c r="AP8" s="31">
        <v>2022</v>
      </c>
      <c r="AQ8" s="31">
        <v>2023</v>
      </c>
      <c r="AR8" s="31"/>
    </row>
    <row r="9" spans="1:47" ht="15" thickBot="1" x14ac:dyDescent="0.8">
      <c r="A9" s="328"/>
      <c r="B9" s="329"/>
      <c r="C9" s="420"/>
      <c r="D9" s="664"/>
      <c r="E9" s="873" t="s">
        <v>465</v>
      </c>
      <c r="F9" s="325"/>
      <c r="G9" s="332"/>
      <c r="H9" s="497"/>
      <c r="I9" s="664"/>
      <c r="J9" s="664"/>
      <c r="R9">
        <f>1/12</f>
        <v>8.3333333333333329E-2</v>
      </c>
      <c r="U9" s="674"/>
      <c r="V9" s="674"/>
      <c r="W9" s="674"/>
      <c r="X9" s="674"/>
      <c r="Y9" s="674"/>
      <c r="Z9" s="674"/>
      <c r="AA9" s="674"/>
      <c r="AB9" s="674"/>
      <c r="AC9" s="674"/>
      <c r="AF9" s="31" t="s">
        <v>590</v>
      </c>
      <c r="AG9" s="31">
        <v>101409</v>
      </c>
      <c r="AH9" s="31">
        <v>103947</v>
      </c>
      <c r="AI9" s="31">
        <v>92851.460999999996</v>
      </c>
      <c r="AJ9" s="31">
        <f>D22</f>
        <v>104269.54300000001</v>
      </c>
      <c r="AK9" s="31">
        <v>123079.44</v>
      </c>
      <c r="AL9" s="31">
        <v>123080.44</v>
      </c>
      <c r="AM9" s="31">
        <v>111254.22</v>
      </c>
      <c r="AN9" s="32">
        <f>D74</f>
        <v>89065.2</v>
      </c>
      <c r="AO9" s="32">
        <f>D87</f>
        <v>85542.48</v>
      </c>
      <c r="AP9" s="32">
        <f>D100</f>
        <v>67484.789999999994</v>
      </c>
      <c r="AQ9">
        <f>AP9*(1-0.123)</f>
        <v>59184.160829999993</v>
      </c>
      <c r="AS9">
        <f>(AO10-AO11)/AO9</f>
        <v>2.8579774249130451E-2</v>
      </c>
    </row>
    <row r="10" spans="1:47" ht="15" thickBot="1" x14ac:dyDescent="0.8">
      <c r="A10" s="1226">
        <v>2016</v>
      </c>
      <c r="B10" s="333" t="s">
        <v>295</v>
      </c>
      <c r="C10" s="334"/>
      <c r="D10" s="335"/>
      <c r="E10" s="337">
        <f>C10</f>
        <v>0</v>
      </c>
      <c r="F10" s="670"/>
      <c r="G10" s="338"/>
      <c r="H10" s="339"/>
      <c r="I10" s="340"/>
      <c r="J10" s="340"/>
      <c r="L10" t="s">
        <v>591</v>
      </c>
      <c r="U10" s="777" t="s">
        <v>592</v>
      </c>
      <c r="V10" s="995" t="s">
        <v>741</v>
      </c>
      <c r="W10" s="995" t="s">
        <v>740</v>
      </c>
      <c r="X10" s="782" t="s">
        <v>593</v>
      </c>
      <c r="Y10" s="782" t="s">
        <v>594</v>
      </c>
      <c r="Z10" s="783" t="s">
        <v>595</v>
      </c>
      <c r="AA10" s="784" t="s">
        <v>596</v>
      </c>
      <c r="AB10" s="784" t="s">
        <v>597</v>
      </c>
      <c r="AC10" s="784" t="s">
        <v>598</v>
      </c>
      <c r="AF10" s="31" t="s">
        <v>599</v>
      </c>
      <c r="AG10" s="31">
        <f>AG9*$AH$5</f>
        <v>4648.8649135059504</v>
      </c>
      <c r="AH10" s="31">
        <f>AH9*$AH$5</f>
        <v>4765.2137499058572</v>
      </c>
      <c r="AI10" s="31">
        <f>AI9*$AH$5</f>
        <v>4256.5640052723738</v>
      </c>
      <c r="AJ10" s="31">
        <v>4780</v>
      </c>
      <c r="AK10" s="31">
        <f t="shared" ref="AK10:AO10" si="0">AK9*$AH$5</f>
        <v>5642.2969380425884</v>
      </c>
      <c r="AL10" s="31">
        <f t="shared" si="0"/>
        <v>5642.3427807677263</v>
      </c>
      <c r="AM10" s="31">
        <f t="shared" si="0"/>
        <v>5100.1966278877817</v>
      </c>
      <c r="AN10" s="31">
        <f t="shared" si="0"/>
        <v>4082.9914829491486</v>
      </c>
      <c r="AO10" s="31">
        <f t="shared" si="0"/>
        <v>3921.5003982514818</v>
      </c>
      <c r="AP10" s="31">
        <f>AP9*$AH$5</f>
        <v>3093.6866789566725</v>
      </c>
      <c r="AQ10" s="31">
        <f>AQ9*$AH$5</f>
        <v>2713.1632174450019</v>
      </c>
    </row>
    <row r="11" spans="1:47" ht="15.25" thickBot="1" x14ac:dyDescent="0.85">
      <c r="A11" s="1161"/>
      <c r="B11" s="341" t="s">
        <v>299</v>
      </c>
      <c r="C11" s="342"/>
      <c r="D11" s="343"/>
      <c r="E11" s="345">
        <f>SUM(C10:C11)</f>
        <v>0</v>
      </c>
      <c r="F11" s="670"/>
      <c r="G11" s="338"/>
      <c r="H11" s="339"/>
      <c r="I11" s="346"/>
      <c r="J11" s="346"/>
      <c r="M11" s="48">
        <v>2020</v>
      </c>
      <c r="N11" s="48">
        <v>2019</v>
      </c>
      <c r="O11" s="48">
        <v>2018</v>
      </c>
      <c r="P11" s="48">
        <v>2017</v>
      </c>
      <c r="R11" s="48">
        <v>2017</v>
      </c>
      <c r="S11" s="32">
        <f>P13</f>
        <v>9458.02</v>
      </c>
      <c r="U11" s="770" t="s">
        <v>600</v>
      </c>
      <c r="V11" s="770">
        <v>5135936</v>
      </c>
      <c r="W11" s="770">
        <v>5305920</v>
      </c>
      <c r="X11" s="686">
        <v>5290770</v>
      </c>
      <c r="Y11" s="684">
        <v>5665840</v>
      </c>
      <c r="Z11" s="680">
        <v>5378535</v>
      </c>
      <c r="AA11" s="685">
        <v>5206990</v>
      </c>
      <c r="AB11" s="686">
        <v>5071450</v>
      </c>
      <c r="AC11" s="686">
        <v>4646830</v>
      </c>
      <c r="AF11" s="31" t="s">
        <v>601</v>
      </c>
      <c r="AG11" s="31">
        <f t="shared" ref="AG11:AN11" si="1">AG10*$AI$6</f>
        <v>1750.6185866758808</v>
      </c>
      <c r="AH11" s="31">
        <f t="shared" si="1"/>
        <v>1794.4319560314943</v>
      </c>
      <c r="AI11" s="31">
        <f t="shared" si="1"/>
        <v>1602.8902111904335</v>
      </c>
      <c r="AJ11" s="31">
        <f t="shared" si="1"/>
        <v>1800</v>
      </c>
      <c r="AK11" s="31">
        <f t="shared" si="1"/>
        <v>2124.7143281331923</v>
      </c>
      <c r="AL11" s="31">
        <f t="shared" si="1"/>
        <v>2124.7315910840807</v>
      </c>
      <c r="AM11" s="31">
        <f t="shared" si="1"/>
        <v>1920.5761360246877</v>
      </c>
      <c r="AN11" s="31">
        <f t="shared" si="1"/>
        <v>1537.5281734954951</v>
      </c>
      <c r="AO11" s="31">
        <f>AO10*$AI$6</f>
        <v>1476.7156311407252</v>
      </c>
      <c r="AP11" s="31">
        <f>AP10*$AI$6</f>
        <v>1164.9866155066968</v>
      </c>
      <c r="AQ11" s="31">
        <f>AQ10*$AH$5</f>
        <v>124.378795631502</v>
      </c>
      <c r="AS11" s="31">
        <f>AN10-AN11</f>
        <v>2545.4633094536534</v>
      </c>
      <c r="AU11">
        <f>(AP13-AO13)/AO13</f>
        <v>-0.21109617116548432</v>
      </c>
    </row>
    <row r="12" spans="1:47" ht="15" thickBot="1" x14ac:dyDescent="0.8">
      <c r="A12" s="1161"/>
      <c r="B12" s="341" t="s">
        <v>303</v>
      </c>
      <c r="C12" s="342"/>
      <c r="D12" s="343"/>
      <c r="E12" s="345">
        <f>SUM(C10:C12)</f>
        <v>0</v>
      </c>
      <c r="F12" s="670"/>
      <c r="G12" s="347"/>
      <c r="H12" s="339"/>
      <c r="I12" s="339"/>
      <c r="J12" s="339"/>
      <c r="L12" t="s">
        <v>602</v>
      </c>
      <c r="M12" t="s">
        <v>603</v>
      </c>
      <c r="N12" t="s">
        <v>604</v>
      </c>
      <c r="O12" t="s">
        <v>603</v>
      </c>
      <c r="P12" t="s">
        <v>604</v>
      </c>
      <c r="R12">
        <f t="shared" ref="R12:R55" si="2">R11+$R$9</f>
        <v>2017.0833333333333</v>
      </c>
      <c r="S12" s="32">
        <f>P14</f>
        <v>8619.6</v>
      </c>
      <c r="U12" s="770" t="s">
        <v>605</v>
      </c>
      <c r="V12" s="770"/>
      <c r="W12" s="770"/>
      <c r="X12" s="686">
        <v>7403013</v>
      </c>
      <c r="Y12" s="686">
        <v>5491917</v>
      </c>
      <c r="Z12" s="681">
        <v>5556521</v>
      </c>
      <c r="AA12" s="685">
        <v>6024555</v>
      </c>
      <c r="AB12" s="686">
        <v>5817095</v>
      </c>
      <c r="AC12" s="686">
        <v>5064173</v>
      </c>
      <c r="AF12" s="31" t="s">
        <v>606</v>
      </c>
      <c r="AG12" s="31">
        <f t="shared" ref="AG12:AN12" si="3">AG10/55*45</f>
        <v>3803.6167474139593</v>
      </c>
      <c r="AH12" s="31">
        <f t="shared" si="3"/>
        <v>3898.8112499229742</v>
      </c>
      <c r="AI12" s="31">
        <f t="shared" si="3"/>
        <v>3482.6432770410333</v>
      </c>
      <c r="AJ12" s="31">
        <f t="shared" si="3"/>
        <v>3910.909090909091</v>
      </c>
      <c r="AK12" s="31">
        <f t="shared" si="3"/>
        <v>4616.4247674893904</v>
      </c>
      <c r="AL12" s="31">
        <f t="shared" si="3"/>
        <v>4616.4622751735942</v>
      </c>
      <c r="AM12" s="31">
        <f t="shared" si="3"/>
        <v>4172.8881500900034</v>
      </c>
      <c r="AN12" s="31">
        <f t="shared" si="3"/>
        <v>3340.6293951402122</v>
      </c>
      <c r="AO12" s="31">
        <f>AO10/55*45</f>
        <v>3208.5003258421211</v>
      </c>
      <c r="AP12" s="31">
        <f>AP10/55*45</f>
        <v>2531.198191873641</v>
      </c>
      <c r="AQ12" s="31">
        <f>AQ10/55*45</f>
        <v>2219.8608142731832</v>
      </c>
      <c r="AS12" s="719">
        <f>AS11/AN9</f>
        <v>2.8579774249130451E-2</v>
      </c>
      <c r="AU12">
        <f>(AP10-AO10)/AO10</f>
        <v>-0.21109617116548421</v>
      </c>
    </row>
    <row r="13" spans="1:47" ht="15" thickBot="1" x14ac:dyDescent="0.8">
      <c r="A13" s="1161"/>
      <c r="B13" s="341" t="s">
        <v>306</v>
      </c>
      <c r="C13" s="342"/>
      <c r="D13" s="343"/>
      <c r="E13" s="345">
        <f>SUM(C10:C13)</f>
        <v>0</v>
      </c>
      <c r="F13" s="670"/>
      <c r="G13" s="347"/>
      <c r="H13" s="339"/>
      <c r="I13" s="339"/>
      <c r="J13" s="339"/>
      <c r="L13" t="s">
        <v>295</v>
      </c>
      <c r="M13" s="84">
        <v>8379.56</v>
      </c>
      <c r="N13" s="84">
        <v>10359.98</v>
      </c>
      <c r="O13" s="84">
        <v>10796.84</v>
      </c>
      <c r="P13" s="84">
        <v>9458.02</v>
      </c>
      <c r="R13">
        <f t="shared" si="2"/>
        <v>2017.1666666666665</v>
      </c>
      <c r="S13" s="32">
        <f t="shared" ref="S13:S22" si="4">P15</f>
        <v>9934</v>
      </c>
      <c r="U13" s="770" t="s">
        <v>607</v>
      </c>
      <c r="V13" s="770">
        <v>9937252</v>
      </c>
      <c r="W13" s="770">
        <v>8843327</v>
      </c>
      <c r="X13" s="686">
        <v>1658965</v>
      </c>
      <c r="Y13" s="686">
        <v>1953397</v>
      </c>
      <c r="Z13" s="681">
        <v>1989735</v>
      </c>
      <c r="AA13" s="685">
        <v>2038243</v>
      </c>
      <c r="AB13" s="686">
        <v>2164068</v>
      </c>
      <c r="AC13" s="686">
        <v>2126291</v>
      </c>
      <c r="AF13" s="31" t="s">
        <v>608</v>
      </c>
      <c r="AG13" s="31">
        <f t="shared" ref="AG13:AM13" si="5">(AG10-AG11)*28+AG12</f>
        <v>84954.513898655918</v>
      </c>
      <c r="AH13" s="31">
        <f t="shared" si="5"/>
        <v>87080.701478405143</v>
      </c>
      <c r="AI13" s="31">
        <f t="shared" si="5"/>
        <v>77785.50951133536</v>
      </c>
      <c r="AJ13" s="31">
        <f t="shared" si="5"/>
        <v>87350.909090909088</v>
      </c>
      <c r="AK13" s="31">
        <f t="shared" si="5"/>
        <v>103108.73784495247</v>
      </c>
      <c r="AL13" s="31">
        <f t="shared" si="5"/>
        <v>103109.57558631567</v>
      </c>
      <c r="AM13" s="31">
        <f t="shared" si="5"/>
        <v>93202.261922256628</v>
      </c>
      <c r="AN13" s="31">
        <f>(AN10-AN11)*28+AN12</f>
        <v>74613.602059842509</v>
      </c>
      <c r="AO13" s="31">
        <f>(AO10-AO11)*28+AO12</f>
        <v>71662.473804943307</v>
      </c>
      <c r="AP13" s="31">
        <f>(AP10-AP11)*28+AP12</f>
        <v>56534.799968472958</v>
      </c>
      <c r="AQ13" s="31">
        <f>(AQ10-AQ11)*28+AQ12</f>
        <v>74705.824625051187</v>
      </c>
      <c r="AS13" s="719">
        <f>AN12/AN9</f>
        <v>3.7507684203709334E-2</v>
      </c>
      <c r="AU13">
        <f>(AP23-AO23)/AO23</f>
        <v>-0.21143285450186669</v>
      </c>
    </row>
    <row r="14" spans="1:47" ht="15" thickBot="1" x14ac:dyDescent="0.8">
      <c r="A14" s="1161"/>
      <c r="B14" s="341" t="s">
        <v>310</v>
      </c>
      <c r="C14" s="342"/>
      <c r="D14" s="343"/>
      <c r="E14" s="345">
        <f>SUM(C10:C14)</f>
        <v>0</v>
      </c>
      <c r="F14" s="670"/>
      <c r="G14" s="347"/>
      <c r="H14" s="339"/>
      <c r="I14" s="339"/>
      <c r="J14" s="339"/>
      <c r="L14" t="s">
        <v>299</v>
      </c>
      <c r="M14" s="84">
        <v>6154.64</v>
      </c>
      <c r="N14" s="84">
        <v>8657.68</v>
      </c>
      <c r="O14" s="84">
        <v>9341.42</v>
      </c>
      <c r="P14" s="84">
        <v>8619.6</v>
      </c>
      <c r="R14">
        <f t="shared" si="2"/>
        <v>2017.2499999999998</v>
      </c>
      <c r="S14" s="32">
        <f t="shared" si="4"/>
        <v>8256.6</v>
      </c>
      <c r="U14" s="775" t="s">
        <v>609</v>
      </c>
      <c r="V14" s="775">
        <v>4369417</v>
      </c>
      <c r="W14" s="775">
        <v>4195415</v>
      </c>
      <c r="X14" s="771">
        <v>5003914</v>
      </c>
      <c r="Y14" s="687">
        <v>5792899</v>
      </c>
      <c r="Z14" s="680">
        <v>5511816</v>
      </c>
      <c r="AA14" s="688">
        <v>5062161</v>
      </c>
      <c r="AB14" s="689">
        <v>5479655</v>
      </c>
      <c r="AC14" s="689">
        <v>2825392</v>
      </c>
      <c r="AF14" s="31" t="s">
        <v>610</v>
      </c>
      <c r="AN14">
        <v>2100</v>
      </c>
      <c r="AO14">
        <v>18000</v>
      </c>
      <c r="AP14">
        <v>26896</v>
      </c>
      <c r="AQ14">
        <v>29751</v>
      </c>
      <c r="AU14">
        <f>(AP20-AO20)/AO20</f>
        <v>-0.2114328545018665</v>
      </c>
    </row>
    <row r="15" spans="1:47" ht="15" thickBot="1" x14ac:dyDescent="0.8">
      <c r="A15" s="1161"/>
      <c r="B15" s="341" t="s">
        <v>314</v>
      </c>
      <c r="C15" s="342"/>
      <c r="D15" s="343"/>
      <c r="E15" s="345">
        <f>SUM(C10:C15)</f>
        <v>0</v>
      </c>
      <c r="F15" s="670"/>
      <c r="G15" s="347"/>
      <c r="H15" s="339"/>
      <c r="I15" s="339"/>
      <c r="J15" s="339"/>
      <c r="L15" t="s">
        <v>303</v>
      </c>
      <c r="M15" s="84">
        <v>7204.3</v>
      </c>
      <c r="N15" s="84">
        <v>8700.56</v>
      </c>
      <c r="O15" s="84">
        <v>9466.7000000000007</v>
      </c>
      <c r="P15" s="84">
        <v>9934</v>
      </c>
      <c r="R15">
        <f t="shared" si="2"/>
        <v>2017.333333333333</v>
      </c>
      <c r="S15" s="32">
        <f t="shared" si="4"/>
        <v>10593.52</v>
      </c>
      <c r="U15" s="765" t="s">
        <v>611</v>
      </c>
      <c r="V15" s="765"/>
      <c r="W15" s="765"/>
      <c r="X15" s="771">
        <v>15150</v>
      </c>
      <c r="Y15" s="765"/>
      <c r="Z15" s="766"/>
      <c r="AA15" s="765"/>
      <c r="AB15" s="765"/>
      <c r="AF15" s="31" t="s">
        <v>608</v>
      </c>
      <c r="AN15">
        <f>AN14*AO6</f>
        <v>56.7</v>
      </c>
      <c r="AO15">
        <f>AO14*$AO$6</f>
        <v>486</v>
      </c>
      <c r="AP15">
        <f>AP14*$AO$6</f>
        <v>726.19200000000001</v>
      </c>
      <c r="AQ15">
        <f>AQ14*$AO$6</f>
        <v>803.27700000000004</v>
      </c>
      <c r="AS15">
        <f>AN14*Reykjavík!H6</f>
        <v>1176.2308795411091</v>
      </c>
      <c r="AT15">
        <f>AO14*Reykjavík!I6</f>
        <v>10090.928111868603</v>
      </c>
    </row>
    <row r="16" spans="1:47" ht="15" thickBot="1" x14ac:dyDescent="0.8">
      <c r="A16" s="1161"/>
      <c r="B16" s="341" t="s">
        <v>316</v>
      </c>
      <c r="C16" s="342"/>
      <c r="D16" s="343"/>
      <c r="E16" s="345">
        <f>SUM(C10:C16)</f>
        <v>0</v>
      </c>
      <c r="F16" s="670"/>
      <c r="G16" s="347"/>
      <c r="H16" s="339"/>
      <c r="I16" s="339"/>
      <c r="J16" s="339"/>
      <c r="L16" t="s">
        <v>306</v>
      </c>
      <c r="M16" s="84">
        <v>7158.26</v>
      </c>
      <c r="N16" s="84">
        <v>8838.84</v>
      </c>
      <c r="O16" s="84">
        <v>9656.73</v>
      </c>
      <c r="P16" s="84">
        <v>8256.6</v>
      </c>
      <c r="R16">
        <f t="shared" si="2"/>
        <v>2017.4166666666663</v>
      </c>
      <c r="S16" s="32">
        <f>P18</f>
        <v>10734.64</v>
      </c>
      <c r="U16" s="765" t="s">
        <v>612</v>
      </c>
      <c r="V16" s="765"/>
      <c r="W16" s="765"/>
      <c r="X16" s="771">
        <v>728441</v>
      </c>
      <c r="Y16" s="765"/>
      <c r="Z16" s="766"/>
      <c r="AA16" s="765"/>
      <c r="AB16" s="765"/>
      <c r="AF16" s="31" t="s">
        <v>971</v>
      </c>
      <c r="AG16">
        <f t="shared" ref="AG16:AL16" si="6">AG9*1.104</f>
        <v>111955.53600000001</v>
      </c>
      <c r="AH16">
        <f t="shared" si="6"/>
        <v>114757.48800000001</v>
      </c>
      <c r="AI16">
        <f t="shared" si="6"/>
        <v>102508.012944</v>
      </c>
      <c r="AJ16">
        <f t="shared" si="6"/>
        <v>115113.57547200001</v>
      </c>
      <c r="AK16">
        <f t="shared" si="6"/>
        <v>135879.70176000003</v>
      </c>
      <c r="AL16">
        <f t="shared" si="6"/>
        <v>135880.80576000002</v>
      </c>
      <c r="AM16">
        <f>AM9*1.104</f>
        <v>122824.65888000002</v>
      </c>
      <c r="AN16">
        <f t="shared" ref="AN16:AQ16" si="7">AN9*1.104</f>
        <v>98327.980800000005</v>
      </c>
      <c r="AO16">
        <f t="shared" si="7"/>
        <v>94438.897920000003</v>
      </c>
      <c r="AP16">
        <f t="shared" si="7"/>
        <v>74503.208159999995</v>
      </c>
      <c r="AQ16">
        <f t="shared" si="7"/>
        <v>65339.313556319998</v>
      </c>
      <c r="AS16">
        <f>AN14-AS15</f>
        <v>923.76912045889094</v>
      </c>
      <c r="AT16">
        <f>AO14-AT15</f>
        <v>7909.0718881313969</v>
      </c>
    </row>
    <row r="17" spans="1:46" ht="15" thickBot="1" x14ac:dyDescent="0.8">
      <c r="A17" s="1161"/>
      <c r="B17" s="341" t="s">
        <v>319</v>
      </c>
      <c r="C17" s="342"/>
      <c r="D17" s="343"/>
      <c r="E17" s="345">
        <f>SUM(C10:C17)</f>
        <v>0</v>
      </c>
      <c r="F17" s="670"/>
      <c r="G17" s="347"/>
      <c r="H17" s="339"/>
      <c r="I17" s="339"/>
      <c r="J17" s="339"/>
      <c r="L17" t="s">
        <v>310</v>
      </c>
      <c r="M17" s="84">
        <v>6950.12</v>
      </c>
      <c r="N17" s="84">
        <v>10672.39</v>
      </c>
      <c r="O17" s="84">
        <v>10785.22</v>
      </c>
      <c r="P17" s="84">
        <v>10593.52</v>
      </c>
      <c r="R17">
        <f t="shared" si="2"/>
        <v>2017.4999999999995</v>
      </c>
      <c r="S17" s="32">
        <f t="shared" si="4"/>
        <v>10589.06</v>
      </c>
      <c r="U17" s="776" t="s">
        <v>613</v>
      </c>
      <c r="V17" s="996">
        <v>19442605</v>
      </c>
      <c r="W17" s="996">
        <v>18344662</v>
      </c>
      <c r="X17" s="758">
        <v>18959352</v>
      </c>
      <c r="Y17" s="690">
        <v>18904053</v>
      </c>
      <c r="Z17" s="683">
        <v>18436607</v>
      </c>
      <c r="AA17" s="691">
        <v>18331949</v>
      </c>
      <c r="AB17" s="692">
        <v>18532268</v>
      </c>
      <c r="AC17" s="692">
        <v>14662686</v>
      </c>
      <c r="AF17" s="31" t="s">
        <v>972</v>
      </c>
      <c r="AP17">
        <f>'Álfsnes - Urðun'!N85*1000</f>
        <v>106773.69978163653</v>
      </c>
      <c r="AQ17">
        <f>'Álfsnes - Urðun'!N86*1000</f>
        <v>93455.481703900878</v>
      </c>
    </row>
    <row r="18" spans="1:46" ht="15" thickBot="1" x14ac:dyDescent="0.8">
      <c r="A18" s="1161"/>
      <c r="B18" s="341" t="s">
        <v>321</v>
      </c>
      <c r="C18" s="342"/>
      <c r="D18" s="343"/>
      <c r="E18" s="345">
        <f>SUM(C10:C18)</f>
        <v>0</v>
      </c>
      <c r="F18" s="670"/>
      <c r="G18" s="324"/>
      <c r="H18" s="348"/>
      <c r="I18" s="348"/>
      <c r="J18" s="348"/>
      <c r="L18" t="s">
        <v>314</v>
      </c>
      <c r="M18" s="84">
        <v>7245.1</v>
      </c>
      <c r="N18" s="84">
        <v>8821.0400000000009</v>
      </c>
      <c r="O18" s="84">
        <v>10218.74</v>
      </c>
      <c r="P18" s="84">
        <v>10734.64</v>
      </c>
      <c r="R18">
        <f t="shared" si="2"/>
        <v>2017.5833333333328</v>
      </c>
      <c r="S18" s="32">
        <f t="shared" si="4"/>
        <v>11116.02</v>
      </c>
      <c r="U18" s="770" t="s">
        <v>93</v>
      </c>
      <c r="V18" s="770">
        <v>11520000</v>
      </c>
      <c r="W18" s="770">
        <v>11780000</v>
      </c>
      <c r="X18" s="686">
        <v>12646135</v>
      </c>
      <c r="Y18" s="686">
        <v>11023463</v>
      </c>
      <c r="Z18" s="681">
        <v>10549953</v>
      </c>
      <c r="AA18" s="685">
        <v>11479101</v>
      </c>
      <c r="AB18" s="686">
        <v>11529789</v>
      </c>
      <c r="AC18" s="686">
        <v>11019040</v>
      </c>
      <c r="AF18" s="31"/>
      <c r="AG18" s="31">
        <v>2011</v>
      </c>
      <c r="AH18" s="31">
        <v>2013</v>
      </c>
      <c r="AI18" s="31">
        <v>2015</v>
      </c>
      <c r="AJ18" s="31">
        <v>2016</v>
      </c>
      <c r="AK18" s="31">
        <v>2017</v>
      </c>
      <c r="AL18" s="31">
        <v>2018</v>
      </c>
      <c r="AM18" s="31">
        <v>2019</v>
      </c>
      <c r="AN18" s="31">
        <v>2020</v>
      </c>
      <c r="AO18" s="31">
        <v>2021</v>
      </c>
      <c r="AP18" s="31">
        <v>2022</v>
      </c>
      <c r="AS18">
        <f>AN15*Reykjavík!H6</f>
        <v>31.758233747609946</v>
      </c>
      <c r="AT18">
        <f>AO15*Reykjavík!I6</f>
        <v>272.45505902045227</v>
      </c>
    </row>
    <row r="19" spans="1:46" ht="15" thickBot="1" x14ac:dyDescent="0.8">
      <c r="A19" s="1161"/>
      <c r="B19" s="341" t="s">
        <v>323</v>
      </c>
      <c r="C19" s="342"/>
      <c r="D19" s="343"/>
      <c r="E19" s="345">
        <f>SUM(C10:C19)</f>
        <v>0</v>
      </c>
      <c r="F19" s="670"/>
      <c r="G19" s="324"/>
      <c r="H19" s="348"/>
      <c r="I19" s="348"/>
      <c r="J19" s="348"/>
      <c r="L19" t="s">
        <v>316</v>
      </c>
      <c r="M19" s="84">
        <v>7600.9</v>
      </c>
      <c r="N19" s="84">
        <v>9611.26</v>
      </c>
      <c r="O19" s="84">
        <v>10590.94</v>
      </c>
      <c r="P19" s="84">
        <v>10589.06</v>
      </c>
      <c r="R19">
        <f t="shared" si="2"/>
        <v>2017.6666666666661</v>
      </c>
      <c r="S19" s="32">
        <f t="shared" si="4"/>
        <v>10037.959999999999</v>
      </c>
      <c r="U19" s="770" t="s">
        <v>614</v>
      </c>
      <c r="V19" s="770">
        <v>4714840</v>
      </c>
      <c r="W19" s="770">
        <v>4972884</v>
      </c>
      <c r="X19" s="686">
        <v>1952969</v>
      </c>
      <c r="Y19" s="686">
        <v>4030708</v>
      </c>
      <c r="Z19" s="681">
        <v>3709166</v>
      </c>
      <c r="AA19" s="685">
        <v>4817544</v>
      </c>
      <c r="AB19" s="686">
        <v>4979817</v>
      </c>
      <c r="AC19" s="686">
        <v>2042284</v>
      </c>
      <c r="AF19" s="31" t="s">
        <v>590</v>
      </c>
      <c r="AG19" s="31">
        <f>AG9*Reykjavík!$C$6</f>
        <v>58344.688821840056</v>
      </c>
      <c r="AH19" s="31">
        <f>AH9*Reykjavík!$C$6</f>
        <v>59804.902611837293</v>
      </c>
      <c r="AI19" s="31">
        <f>AI9*Reykjavík!$C$6</f>
        <v>53421.191400154006</v>
      </c>
      <c r="AJ19" s="31">
        <f>AJ9*Reykjavík!D$6</f>
        <v>59616.157947046471</v>
      </c>
      <c r="AK19" s="31">
        <f>AK9*Reykjavík!E$6</f>
        <v>69830.387235629212</v>
      </c>
      <c r="AL19" s="31">
        <f>AL9*Reykjavík!F$6</f>
        <v>69584.72274936871</v>
      </c>
      <c r="AM19" s="31">
        <f>AM9*Reykjavík!G$6</f>
        <v>62612.589200351962</v>
      </c>
      <c r="AN19" s="31">
        <f>AN9*Reykjavík!H$6</f>
        <v>49886.304063097516</v>
      </c>
      <c r="AO19" s="93">
        <f>AO9*Reykjavík!I$6</f>
        <v>47955.723121719871</v>
      </c>
      <c r="AP19" s="93">
        <f>AP9*Reykjavík!J$6</f>
        <v>37816.307692393479</v>
      </c>
      <c r="AQ19" s="93">
        <f>AQ9*Reykjavík!L$6</f>
        <v>0</v>
      </c>
      <c r="AS19">
        <f>AN15-AS18</f>
        <v>24.941766252390057</v>
      </c>
      <c r="AT19">
        <f>AO15-AT18</f>
        <v>213.54494097954773</v>
      </c>
    </row>
    <row r="20" spans="1:46" ht="15" thickBot="1" x14ac:dyDescent="0.8">
      <c r="A20" s="1161"/>
      <c r="B20" s="341" t="s">
        <v>326</v>
      </c>
      <c r="C20" s="342"/>
      <c r="D20" s="343"/>
      <c r="E20" s="345">
        <f>SUM(C10:C20)</f>
        <v>0</v>
      </c>
      <c r="F20" s="670"/>
      <c r="G20" s="324"/>
      <c r="H20" s="348"/>
      <c r="I20" s="348"/>
      <c r="J20" s="348"/>
      <c r="L20" t="s">
        <v>319</v>
      </c>
      <c r="M20" s="84">
        <v>6408.64</v>
      </c>
      <c r="N20" s="84">
        <v>8938.94</v>
      </c>
      <c r="O20" s="84">
        <v>10329.120000000001</v>
      </c>
      <c r="P20" s="84">
        <v>11116.02</v>
      </c>
      <c r="R20">
        <f t="shared" si="2"/>
        <v>2017.7499999999993</v>
      </c>
      <c r="S20" s="32">
        <f t="shared" si="4"/>
        <v>10419.18</v>
      </c>
      <c r="U20" s="775" t="s">
        <v>615</v>
      </c>
      <c r="V20" s="775">
        <v>4840908</v>
      </c>
      <c r="W20" s="775">
        <v>3473408</v>
      </c>
      <c r="X20" s="771">
        <v>3374648</v>
      </c>
      <c r="Y20" s="687">
        <v>3849882</v>
      </c>
      <c r="Z20" s="680">
        <v>3422418</v>
      </c>
      <c r="AA20" s="688">
        <v>2035304</v>
      </c>
      <c r="AB20" s="689">
        <v>2022662</v>
      </c>
      <c r="AC20" s="689">
        <v>1601362</v>
      </c>
      <c r="AF20" s="31" t="s">
        <v>599</v>
      </c>
      <c r="AG20" s="31">
        <f>AG10*Reykjavík!$C$6</f>
        <v>2674.6795329139923</v>
      </c>
      <c r="AH20" s="31">
        <f>AH10*Reykjavík!$C$6</f>
        <v>2741.6197123313591</v>
      </c>
      <c r="AI20" s="31">
        <f>AI10*Reykjavík!$C$6</f>
        <v>2448.9729938946425</v>
      </c>
      <c r="AJ20" s="31">
        <f>AJ10*Reykjavík!D$6</f>
        <v>2732.9671425421143</v>
      </c>
      <c r="AK20" s="31">
        <f>AK10*Reykjavík!E$6</f>
        <v>3201.2152483137634</v>
      </c>
      <c r="AL20" s="31">
        <f>AL10*Reykjavík!F$6</f>
        <v>3189.9533187939883</v>
      </c>
      <c r="AM20" s="31">
        <f>AM10*Reykjavík!G$6</f>
        <v>2870.3317168819126</v>
      </c>
      <c r="AN20" s="31">
        <f>AN10*Reykjavík!H$6</f>
        <v>2286.9241253086352</v>
      </c>
      <c r="AO20" s="31">
        <f>AO10*Reykjavík!I$6</f>
        <v>2198.4210338566554</v>
      </c>
      <c r="AP20" s="31">
        <f>AP10*Reykjavík!J$6</f>
        <v>1733.6025992713983</v>
      </c>
    </row>
    <row r="21" spans="1:46" ht="15" thickBot="1" x14ac:dyDescent="0.8">
      <c r="A21" s="1162"/>
      <c r="B21" s="349" t="s">
        <v>327</v>
      </c>
      <c r="C21" s="350"/>
      <c r="D21" s="353"/>
      <c r="E21" s="345">
        <f>SUM(C10:C21)</f>
        <v>0</v>
      </c>
      <c r="F21" s="670"/>
      <c r="G21" s="324"/>
      <c r="H21" s="348"/>
      <c r="I21" s="348"/>
      <c r="J21" s="348"/>
      <c r="L21" t="s">
        <v>321</v>
      </c>
      <c r="M21" s="84">
        <v>7314.64</v>
      </c>
      <c r="N21" s="84">
        <v>9020.64</v>
      </c>
      <c r="O21" s="84">
        <v>9486.02</v>
      </c>
      <c r="P21" s="84">
        <v>10037.959999999999</v>
      </c>
      <c r="R21">
        <f t="shared" si="2"/>
        <v>2017.8333333333326</v>
      </c>
      <c r="S21" s="32">
        <f t="shared" si="4"/>
        <v>10267.51</v>
      </c>
      <c r="U21" s="765" t="s">
        <v>616</v>
      </c>
      <c r="V21" s="997"/>
      <c r="W21" s="997"/>
      <c r="X21" s="772">
        <v>1398060</v>
      </c>
      <c r="Y21" s="765"/>
      <c r="Z21" s="766"/>
      <c r="AA21" s="765"/>
      <c r="AB21" s="765"/>
      <c r="AF21" s="31" t="s">
        <v>601</v>
      </c>
      <c r="AG21" s="31">
        <f>AG11*Reykjavík!$C$6</f>
        <v>1007.2014977500389</v>
      </c>
      <c r="AH21" s="31">
        <f>AH11*Reykjavík!$C$6</f>
        <v>1032.4090966938172</v>
      </c>
      <c r="AI21" s="31">
        <f>AI11*Reykjavík!$C$6</f>
        <v>922.20740355865189</v>
      </c>
      <c r="AJ21" s="31">
        <f>AJ11*Reykjavík!D$6</f>
        <v>1029.1508068150222</v>
      </c>
      <c r="AK21" s="31">
        <f>AK11*Reykjavík!E$6</f>
        <v>1205.47854539012</v>
      </c>
      <c r="AL21" s="31">
        <f>AL11*Reykjavík!F$6</f>
        <v>1201.2376514286982</v>
      </c>
      <c r="AM21" s="31">
        <f>AM11*Reykjavík!G$6</f>
        <v>1080.8780523823102</v>
      </c>
      <c r="AN21" s="31">
        <f>AN11*Reykjavík!H$6</f>
        <v>861.18481706182911</v>
      </c>
      <c r="AO21" s="31">
        <f>AO11*Reykjavík!I$6</f>
        <v>827.85729308409623</v>
      </c>
      <c r="AP21" s="31">
        <f>AP11*Reykjavík!J$6</f>
        <v>652.8210624871374</v>
      </c>
    </row>
    <row r="22" spans="1:46" ht="15" thickBot="1" x14ac:dyDescent="0.8">
      <c r="A22" s="354" t="s">
        <v>3</v>
      </c>
      <c r="B22" s="355"/>
      <c r="C22" s="356">
        <f>SUM(C10:C21)</f>
        <v>0</v>
      </c>
      <c r="D22" s="667">
        <f>208957*0.499</f>
        <v>104269.54300000001</v>
      </c>
      <c r="E22" s="357">
        <f>E17</f>
        <v>0</v>
      </c>
      <c r="F22" s="671"/>
      <c r="G22" s="358"/>
      <c r="H22" s="359"/>
      <c r="I22" s="359"/>
      <c r="J22" s="359"/>
      <c r="L22" t="s">
        <v>323</v>
      </c>
      <c r="M22" s="84">
        <v>3364.7</v>
      </c>
      <c r="N22" s="84">
        <v>8615.68</v>
      </c>
      <c r="O22" s="84">
        <v>10851.76</v>
      </c>
      <c r="P22" s="84">
        <v>10419.18</v>
      </c>
      <c r="R22">
        <f t="shared" si="2"/>
        <v>2017.9166666666658</v>
      </c>
      <c r="S22" s="32">
        <f t="shared" si="4"/>
        <v>9171.84</v>
      </c>
      <c r="U22" s="765" t="s">
        <v>612</v>
      </c>
      <c r="V22" s="765"/>
      <c r="W22" s="765"/>
      <c r="X22" s="773">
        <v>728441</v>
      </c>
      <c r="Y22" s="765"/>
      <c r="Z22" s="766"/>
      <c r="AA22" s="770"/>
      <c r="AB22" s="679"/>
      <c r="AF22" s="31" t="s">
        <v>606</v>
      </c>
      <c r="AG22" s="31">
        <f>AG12*Reykjavík!$C$6</f>
        <v>2188.3741632932665</v>
      </c>
      <c r="AH22" s="31">
        <f>AH12*Reykjavík!$C$6</f>
        <v>2243.1434009983845</v>
      </c>
      <c r="AI22" s="31">
        <f>AI12*Reykjavík!$C$6</f>
        <v>2003.7051768228894</v>
      </c>
      <c r="AJ22" s="31">
        <f>AJ12*Reykjavík!D$6</f>
        <v>2236.0640257162754</v>
      </c>
      <c r="AK22" s="31">
        <f>AK12*Reykjavík!E$6</f>
        <v>2619.1761122567154</v>
      </c>
      <c r="AL22" s="31">
        <f>AL12*Reykjavík!F$6</f>
        <v>2609.9618062859904</v>
      </c>
      <c r="AM22" s="31">
        <f>AM12*Reykjavík!G$6</f>
        <v>2348.453222903383</v>
      </c>
      <c r="AN22" s="31">
        <f>AN12*Reykjavík!H$6</f>
        <v>1871.1197388888831</v>
      </c>
      <c r="AO22" s="31">
        <f>AO12*Reykjavík!I$6</f>
        <v>1798.7081186099908</v>
      </c>
      <c r="AP22" s="31">
        <f>AP12*Reykjavík!J$6</f>
        <v>1418.4021266765985</v>
      </c>
    </row>
    <row r="23" spans="1:46" ht="15" thickBot="1" x14ac:dyDescent="0.8">
      <c r="A23" s="1161">
        <v>2017</v>
      </c>
      <c r="B23" s="333" t="s">
        <v>295</v>
      </c>
      <c r="C23" s="334">
        <v>9458.02</v>
      </c>
      <c r="D23" s="335"/>
      <c r="E23" s="337">
        <f>C23</f>
        <v>9458.02</v>
      </c>
      <c r="F23" s="672"/>
      <c r="G23" s="1165" t="str">
        <f>"Milli áranna "&amp; A10&amp;" og "&amp; A23</f>
        <v>Milli áranna 2016 og 2017</v>
      </c>
      <c r="H23" s="360" t="e">
        <f t="shared" ref="H23:H54" si="8">(C23-C10)/C10</f>
        <v>#DIV/0!</v>
      </c>
      <c r="I23" s="361" t="e">
        <f t="shared" ref="I23:I38" si="9">(E23-E10)/E10</f>
        <v>#DIV/0!</v>
      </c>
      <c r="J23" s="361" t="e">
        <f>(#REF!-#REF!)/#REF!</f>
        <v>#REF!</v>
      </c>
      <c r="L23" t="s">
        <v>326</v>
      </c>
      <c r="M23" s="84">
        <f>M22/N22*N23</f>
        <v>2898.3655644127912</v>
      </c>
      <c r="N23" s="84">
        <v>7421.58</v>
      </c>
      <c r="O23" s="84">
        <v>9454.1200000000008</v>
      </c>
      <c r="P23" s="84">
        <v>10267.51</v>
      </c>
      <c r="R23">
        <f t="shared" si="2"/>
        <v>2017.9999999999991</v>
      </c>
      <c r="S23" s="32">
        <f t="shared" ref="S23:S34" si="10">O13</f>
        <v>10796.84</v>
      </c>
      <c r="U23" s="776" t="s">
        <v>617</v>
      </c>
      <c r="V23" s="996">
        <v>21075748</v>
      </c>
      <c r="W23" s="996">
        <v>20226292</v>
      </c>
      <c r="X23" s="774">
        <v>20906132</v>
      </c>
      <c r="Y23" s="690">
        <v>18904053</v>
      </c>
      <c r="Z23" s="683">
        <v>18436607</v>
      </c>
      <c r="AA23" s="691">
        <v>18331949</v>
      </c>
      <c r="AB23" s="692">
        <v>18532268</v>
      </c>
      <c r="AC23" s="692">
        <v>14662686</v>
      </c>
      <c r="AF23" s="31" t="s">
        <v>608</v>
      </c>
      <c r="AG23" s="31">
        <f>AG13*Reykjavík!$C$6</f>
        <v>48877.759147883968</v>
      </c>
      <c r="AH23" s="31">
        <f>AH13*Reykjavík!$C$6</f>
        <v>50101.040638849561</v>
      </c>
      <c r="AI23" s="31">
        <f>AI13*Reykjavík!$C$6</f>
        <v>44753.141706230621</v>
      </c>
      <c r="AJ23" s="31">
        <f>AJ13*Reykjavík!D$6</f>
        <v>49942.921426074856</v>
      </c>
      <c r="AK23" s="31">
        <f>AK13*Reykjavík!E$6</f>
        <v>58499.803794118714</v>
      </c>
      <c r="AL23" s="31">
        <f>AL13*Reykjavík!F$6</f>
        <v>58294.000492514104</v>
      </c>
      <c r="AM23" s="31">
        <f>AM13*Reykjavík!G$6</f>
        <v>52453.155828892246</v>
      </c>
      <c r="AN23" s="31">
        <f>AN13*Reykjavík!H$6</f>
        <v>41791.820369799454</v>
      </c>
      <c r="AO23" s="31">
        <f>AO13*Reykjavík!I$6</f>
        <v>40174.492860241655</v>
      </c>
      <c r="AP23" s="31">
        <f>AP13*Reykjavík!J$6</f>
        <v>31680.285156635899</v>
      </c>
    </row>
    <row r="24" spans="1:46" ht="15" thickBot="1" x14ac:dyDescent="0.8">
      <c r="A24" s="1161"/>
      <c r="B24" s="341" t="s">
        <v>299</v>
      </c>
      <c r="C24" s="342">
        <v>8619.6</v>
      </c>
      <c r="D24" s="343"/>
      <c r="E24" s="345">
        <f>SUM(C23:C24)</f>
        <v>18077.620000000003</v>
      </c>
      <c r="F24" s="673"/>
      <c r="G24" s="1163"/>
      <c r="H24" s="362" t="e">
        <f t="shared" si="8"/>
        <v>#DIV/0!</v>
      </c>
      <c r="I24" s="365" t="e">
        <f t="shared" si="9"/>
        <v>#DIV/0!</v>
      </c>
      <c r="J24" s="365" t="e">
        <f>(#REF!-#REF!)/#REF!</f>
        <v>#REF!</v>
      </c>
      <c r="L24" t="s">
        <v>327</v>
      </c>
      <c r="M24" s="84">
        <f>M22/N22*N24</f>
        <v>2893.9213085908477</v>
      </c>
      <c r="N24" s="84">
        <v>7410.2</v>
      </c>
      <c r="O24" s="84">
        <v>8887.74</v>
      </c>
      <c r="P24" s="84">
        <v>9171.84</v>
      </c>
      <c r="R24">
        <f t="shared" si="2"/>
        <v>2018.0833333333323</v>
      </c>
      <c r="S24" s="32">
        <f t="shared" si="10"/>
        <v>9341.42</v>
      </c>
      <c r="U24" s="775"/>
      <c r="V24" s="775"/>
      <c r="W24" s="775"/>
      <c r="X24" s="682"/>
      <c r="Y24" s="687"/>
      <c r="Z24" s="680"/>
      <c r="AA24" s="688"/>
      <c r="AB24" s="689"/>
      <c r="AC24" s="689"/>
      <c r="AF24" s="31" t="str">
        <f>AF14</f>
        <v>Magn jarðgert (tonn)</v>
      </c>
      <c r="AG24" s="31">
        <f>AG14*Reykjavík!$C$6</f>
        <v>0</v>
      </c>
      <c r="AH24" s="31">
        <f>AH14*Reykjavík!$C$6</f>
        <v>0</v>
      </c>
      <c r="AI24" s="31">
        <f>AI14*Reykjavík!$C$6</f>
        <v>0</v>
      </c>
      <c r="AJ24" s="31">
        <f>AJ14*Reykjavík!D$6</f>
        <v>0</v>
      </c>
      <c r="AK24" s="31">
        <f>AK14*Reykjavík!E$6</f>
        <v>0</v>
      </c>
      <c r="AL24" s="31">
        <f>AL14*Reykjavík!F$6</f>
        <v>0</v>
      </c>
      <c r="AM24" s="31">
        <f>AM14*Reykjavík!G$6</f>
        <v>0</v>
      </c>
      <c r="AN24" s="31">
        <f>AN14*Reykjavík!H$6</f>
        <v>1176.2308795411091</v>
      </c>
      <c r="AO24" s="31">
        <f>AO14*Reykjavík!I$6</f>
        <v>10090.928111868603</v>
      </c>
      <c r="AP24" s="31">
        <f>AP14*Reykjavík!J$6</f>
        <v>15071.65409708788</v>
      </c>
    </row>
    <row r="25" spans="1:46" ht="15" thickBot="1" x14ac:dyDescent="0.8">
      <c r="A25" s="1161"/>
      <c r="B25" s="341" t="s">
        <v>303</v>
      </c>
      <c r="C25" s="342">
        <v>9934</v>
      </c>
      <c r="D25" s="343"/>
      <c r="E25" s="345">
        <f>SUM(C23:C25)</f>
        <v>28011.620000000003</v>
      </c>
      <c r="F25" s="673"/>
      <c r="G25" s="1163"/>
      <c r="H25" s="362" t="e">
        <f t="shared" si="8"/>
        <v>#DIV/0!</v>
      </c>
      <c r="I25" s="365" t="e">
        <f t="shared" si="9"/>
        <v>#DIV/0!</v>
      </c>
      <c r="J25" s="365" t="e">
        <f>(#REF!-#REF!)/#REF!</f>
        <v>#REF!</v>
      </c>
      <c r="M25" s="84">
        <f>SUM(M13:M24)</f>
        <v>73573.146873003629</v>
      </c>
      <c r="N25" s="84">
        <f>SUM(N13:N24)</f>
        <v>107068.79000000001</v>
      </c>
      <c r="O25" s="84">
        <f>SUM(O13:O24)</f>
        <v>119865.34999999999</v>
      </c>
      <c r="P25" s="84">
        <f>SUM(P13:P24)</f>
        <v>119197.95</v>
      </c>
      <c r="R25">
        <f t="shared" si="2"/>
        <v>2018.1666666666656</v>
      </c>
      <c r="S25" s="32">
        <f t="shared" si="10"/>
        <v>9466.7000000000007</v>
      </c>
      <c r="U25" s="776" t="s">
        <v>618</v>
      </c>
      <c r="V25" s="690">
        <f>V18*_xlfn.XLOOKUP(V6,Reykjavík!$A$3:$M$3,Reykjavík!$A$6:$M$6,0,0,1)</f>
        <v>6472896.8177596293</v>
      </c>
      <c r="W25" s="690">
        <f>W18*_xlfn.XLOOKUP(W6,Reykjavík!$A$3:$J$3,Reykjavík!$A$6:$J$6,0,0,1)</f>
        <v>6601133.4497209704</v>
      </c>
      <c r="X25" s="690">
        <f>X18*_xlfn.XLOOKUP(X6,Reykjavík!$A$3:$J$3,Reykjavík!$A$6:$J$6,0,0,1)</f>
        <v>7089513.2876658589</v>
      </c>
      <c r="Y25" s="690">
        <f>Y18*_xlfn.XLOOKUP(Y6,Reykjavík!$A$3:$J$3,Reykjavík!$A$6:$J$6,0,0,1)</f>
        <v>6174351.2286089873</v>
      </c>
      <c r="Z25" s="690">
        <f>Z18*_xlfn.XLOOKUP(Z6,Reykjavík!$A$3:$J$3,Reykjavík!$A$6:$J$6,0,0,1)</f>
        <v>5937391.6177923027</v>
      </c>
      <c r="AA25" s="690">
        <f>AA18*_xlfn.XLOOKUP(AA6,Reykjavík!$A$3:$J$3,Reykjavík!$A$6:$J$6,0,0,1)</f>
        <v>6489821.2948946329</v>
      </c>
      <c r="AB25" s="690">
        <f>AB18*_xlfn.XLOOKUP(AB6,Reykjavík!$A$3:$J$3,Reykjavík!$A$6:$J$6,0,0,1)</f>
        <v>6541544.4741631746</v>
      </c>
      <c r="AC25" s="690">
        <f>AC18*_xlfn.XLOOKUP(AC6,Reykjavík!$A$3:$J$3,Reykjavík!$A$6:$J$6,0,0,1)</f>
        <v>6300141.0590705564</v>
      </c>
      <c r="AF25" s="31" t="str">
        <f>AF15</f>
        <v>CO2 ígildi (tonn)</v>
      </c>
      <c r="AG25" s="31">
        <f>AG15*Reykjavík!$C$6</f>
        <v>0</v>
      </c>
      <c r="AH25" s="31">
        <f>AH15*Reykjavík!$C$6</f>
        <v>0</v>
      </c>
      <c r="AI25" s="31">
        <f>AI15*Reykjavík!$C$6</f>
        <v>0</v>
      </c>
      <c r="AJ25" s="31">
        <f>AJ15*Reykjavík!D$6</f>
        <v>0</v>
      </c>
      <c r="AK25" s="31">
        <f>AK15*Reykjavík!E$6</f>
        <v>0</v>
      </c>
      <c r="AL25" s="31">
        <f>AL15*Reykjavík!F$6</f>
        <v>0</v>
      </c>
      <c r="AM25" s="31">
        <f>AM15*Reykjavík!G$6</f>
        <v>0</v>
      </c>
      <c r="AN25" s="31">
        <f>AN15*Reykjavík!H$6</f>
        <v>31.758233747609946</v>
      </c>
      <c r="AO25" s="31">
        <f>AO15*Reykjavík!I$6</f>
        <v>272.45505902045227</v>
      </c>
      <c r="AP25" s="31">
        <f>AP15*Reykjavík!J$6</f>
        <v>406.93466062137276</v>
      </c>
    </row>
    <row r="26" spans="1:46" ht="15" thickBot="1" x14ac:dyDescent="0.8">
      <c r="A26" s="1161"/>
      <c r="B26" s="341" t="s">
        <v>306</v>
      </c>
      <c r="C26" s="342">
        <v>8256.6</v>
      </c>
      <c r="D26" s="343"/>
      <c r="E26" s="345">
        <f>SUM(C23:C26)</f>
        <v>36268.22</v>
      </c>
      <c r="F26" s="673"/>
      <c r="G26" s="1163"/>
      <c r="H26" s="362" t="e">
        <f>(C26-C13)/C13</f>
        <v>#DIV/0!</v>
      </c>
      <c r="I26" s="365" t="e">
        <f t="shared" si="9"/>
        <v>#DIV/0!</v>
      </c>
      <c r="J26" s="365" t="e">
        <f>(#REF!-#REF!)/#REF!</f>
        <v>#REF!</v>
      </c>
      <c r="R26">
        <f t="shared" si="2"/>
        <v>2018.2499999999989</v>
      </c>
      <c r="S26" s="32">
        <f>O16</f>
        <v>9656.73</v>
      </c>
      <c r="U26" s="775" t="s">
        <v>619</v>
      </c>
      <c r="V26" s="687">
        <f>V25*$U$36/1000</f>
        <v>4427.4614233475868</v>
      </c>
      <c r="W26" s="687">
        <f t="shared" ref="W26:Y26" si="11">W25*$U$36/1000</f>
        <v>4515.1752796091441</v>
      </c>
      <c r="X26" s="687">
        <f t="shared" si="11"/>
        <v>4849.2270887634477</v>
      </c>
      <c r="Y26" s="687">
        <f t="shared" si="11"/>
        <v>4223.2562403685479</v>
      </c>
      <c r="Z26" s="687">
        <f>Z25*$U$36/1000</f>
        <v>4061.1758665699354</v>
      </c>
      <c r="AA26" s="687">
        <f t="shared" ref="AA26" si="12">AA25*$U$36/1000</f>
        <v>4439.0377657079298</v>
      </c>
      <c r="AB26" s="687">
        <f t="shared" ref="AB26" si="13">AB25*$U$36/1000</f>
        <v>4474.4164203276123</v>
      </c>
      <c r="AC26" s="687">
        <f t="shared" ref="AC26" si="14">AC25*$U$36/1000</f>
        <v>4309.2964844042608</v>
      </c>
      <c r="AF26" s="31" t="s">
        <v>590</v>
      </c>
      <c r="AG26" s="31">
        <f>(1-Reykjavík!$C$6)*AG9</f>
        <v>43064.311178159944</v>
      </c>
      <c r="AH26" s="31">
        <f>(1-Reykjavík!$C$6)*AH9</f>
        <v>44142.097388162707</v>
      </c>
      <c r="AI26" s="31">
        <f>(1-Reykjavík!C$6)*AI9</f>
        <v>39430.269599845989</v>
      </c>
      <c r="AJ26" s="31">
        <f>(1-Reykjavík!D$6)*AJ9</f>
        <v>44653.385052953534</v>
      </c>
      <c r="AK26" s="31">
        <f>(1-Reykjavík!E$6)*AK9</f>
        <v>53249.052764370797</v>
      </c>
      <c r="AL26" s="31">
        <f>(1-Reykjavík!F$6)*AL9</f>
        <v>53495.717250631285</v>
      </c>
      <c r="AM26" s="31">
        <f>(1-Reykjavík!G$6)*AM9</f>
        <v>48641.630799648039</v>
      </c>
      <c r="AN26" s="31">
        <f>(1-Reykjavík!H$6)*AN9</f>
        <v>39178.895936902481</v>
      </c>
      <c r="AO26" s="93">
        <f>(1-Reykjavík!I$6)*AO9</f>
        <v>37586.756878280125</v>
      </c>
      <c r="AP26" s="93">
        <f>(1-Reykjavík!J$6)*AP9</f>
        <v>29668.482307606515</v>
      </c>
    </row>
    <row r="27" spans="1:46" ht="14.25" x14ac:dyDescent="0.65">
      <c r="A27" s="1161"/>
      <c r="B27" s="341" t="s">
        <v>310</v>
      </c>
      <c r="C27" s="342">
        <v>10593.52</v>
      </c>
      <c r="D27" s="343"/>
      <c r="E27" s="345">
        <f>SUM(C23:C27)</f>
        <v>46861.740000000005</v>
      </c>
      <c r="F27" s="673"/>
      <c r="G27" s="1163"/>
      <c r="H27" s="362" t="e">
        <f t="shared" si="8"/>
        <v>#DIV/0!</v>
      </c>
      <c r="I27" s="365" t="e">
        <f t="shared" si="9"/>
        <v>#DIV/0!</v>
      </c>
      <c r="J27" s="365" t="e">
        <f>(#REF!-#REF!)/#REF!</f>
        <v>#REF!</v>
      </c>
      <c r="R27">
        <f t="shared" si="2"/>
        <v>2018.3333333333321</v>
      </c>
      <c r="S27" s="32">
        <f t="shared" si="10"/>
        <v>10785.22</v>
      </c>
      <c r="U27" s="778"/>
      <c r="V27" s="998"/>
      <c r="W27" s="998"/>
      <c r="X27" s="779"/>
      <c r="Y27" s="780"/>
      <c r="Z27" s="781"/>
      <c r="AA27" s="781"/>
      <c r="AB27" s="781"/>
      <c r="AC27" s="781"/>
      <c r="AF27" s="31" t="s">
        <v>599</v>
      </c>
      <c r="AG27" s="31">
        <f>(1-Reykjavík!$C$6)*AG10</f>
        <v>1974.1853805919579</v>
      </c>
      <c r="AH27" s="31">
        <f>(1-Reykjavík!$C$6)*AH10</f>
        <v>2023.5940375744981</v>
      </c>
      <c r="AI27" s="31">
        <f>(1-Reykjavík!C$6)*AI10</f>
        <v>1807.5910113777313</v>
      </c>
      <c r="AJ27" s="31">
        <f>(1-Reykjavík!D$6)*AJ10</f>
        <v>2047.0328574578857</v>
      </c>
      <c r="AK27" s="31">
        <f>(1-Reykjavík!E$6)*AK10</f>
        <v>2441.081689728825</v>
      </c>
      <c r="AL27" s="31">
        <f>(1-Reykjavík!F$6)*AL10</f>
        <v>2452.389461973738</v>
      </c>
      <c r="AM27" s="31">
        <f>(1-Reykjavík!G$6)*AM10</f>
        <v>2229.8649110058691</v>
      </c>
      <c r="AN27" s="31">
        <f>(1-Reykjavík!H$6)*AN10</f>
        <v>1796.0673576405134</v>
      </c>
      <c r="AO27" s="93">
        <f>(1-Reykjavík!I$6)*AO10</f>
        <v>1723.0793643948261</v>
      </c>
      <c r="AP27" s="93">
        <f>(1-Reykjavík!J$6)*AP10</f>
        <v>1360.0840796852742</v>
      </c>
    </row>
    <row r="28" spans="1:46" ht="14.25" x14ac:dyDescent="0.65">
      <c r="A28" s="1161"/>
      <c r="B28" s="341" t="s">
        <v>314</v>
      </c>
      <c r="C28" s="342">
        <v>10734.64</v>
      </c>
      <c r="D28" s="343"/>
      <c r="E28" s="345">
        <f>SUM(C23:C28)</f>
        <v>57596.380000000005</v>
      </c>
      <c r="F28" s="673"/>
      <c r="G28" s="1163"/>
      <c r="H28" s="362" t="e">
        <f t="shared" si="8"/>
        <v>#DIV/0!</v>
      </c>
      <c r="I28" s="365" t="e">
        <f t="shared" si="9"/>
        <v>#DIV/0!</v>
      </c>
      <c r="J28" s="365" t="e">
        <f>(#REF!-#REF!)/#REF!</f>
        <v>#REF!</v>
      </c>
      <c r="R28">
        <f t="shared" si="2"/>
        <v>2018.4166666666654</v>
      </c>
      <c r="S28" s="32">
        <f t="shared" si="10"/>
        <v>10218.74</v>
      </c>
      <c r="AF28" s="31" t="s">
        <v>601</v>
      </c>
      <c r="AG28" s="31">
        <f>(1-Reykjavík!$C$6)*AG11</f>
        <v>743.41708892584188</v>
      </c>
      <c r="AH28" s="31">
        <f>(1-Reykjavík!$C$6)*AH11</f>
        <v>762.02285933767712</v>
      </c>
      <c r="AI28" s="31">
        <f>(1-Reykjavík!C$6)*AI11</f>
        <v>680.68280763178166</v>
      </c>
      <c r="AJ28" s="31">
        <f>(1-Reykjavík!D$6)*AJ11</f>
        <v>770.84919318497782</v>
      </c>
      <c r="AK28" s="31">
        <f>(1-Reykjavík!E$6)*AK11</f>
        <v>919.23578274307226</v>
      </c>
      <c r="AL28" s="31">
        <f>(1-Reykjavík!F$6)*AL11</f>
        <v>923.49393965538241</v>
      </c>
      <c r="AM28" s="31">
        <f>(1-Reykjavík!G$6)*AM11</f>
        <v>839.69808364237747</v>
      </c>
      <c r="AN28" s="31">
        <f>(1-Reykjavík!H$6)*AN11</f>
        <v>676.34335643366603</v>
      </c>
      <c r="AO28" s="31">
        <f>(1-Reykjavík!I$6)*AO11</f>
        <v>648.85833805662901</v>
      </c>
      <c r="AP28" s="31">
        <f>(1-Reykjavík!J$6)*AP11</f>
        <v>512.16555301955941</v>
      </c>
      <c r="AT28" s="25" t="s">
        <v>758</v>
      </c>
    </row>
    <row r="29" spans="1:46" ht="14.25" x14ac:dyDescent="0.65">
      <c r="A29" s="1161"/>
      <c r="B29" s="341" t="s">
        <v>316</v>
      </c>
      <c r="C29" s="342">
        <v>10589.06</v>
      </c>
      <c r="D29" s="343"/>
      <c r="E29" s="345">
        <f>SUM(C23:C29)</f>
        <v>68185.440000000002</v>
      </c>
      <c r="F29" s="673"/>
      <c r="G29" s="1163"/>
      <c r="H29" s="362" t="e">
        <f t="shared" si="8"/>
        <v>#DIV/0!</v>
      </c>
      <c r="I29" s="365" t="e">
        <f>(E29-E16)/E16</f>
        <v>#DIV/0!</v>
      </c>
      <c r="J29" s="365" t="e">
        <f>(#REF!-#REF!)/#REF!</f>
        <v>#REF!</v>
      </c>
      <c r="R29">
        <f t="shared" si="2"/>
        <v>2018.4999999999986</v>
      </c>
      <c r="S29" s="32">
        <f t="shared" si="10"/>
        <v>10590.94</v>
      </c>
      <c r="U29" s="25" t="s">
        <v>620</v>
      </c>
      <c r="V29" s="25"/>
      <c r="W29" s="25"/>
      <c r="X29" s="25"/>
      <c r="Y29" s="32"/>
      <c r="AF29" s="31" t="s">
        <v>606</v>
      </c>
      <c r="AG29" s="31">
        <f>(1-Reykjavík!$C$6)*AG12</f>
        <v>1615.2425841206928</v>
      </c>
      <c r="AH29" s="31">
        <f>(1-Reykjavík!$C$6)*AH12</f>
        <v>1655.6678489245894</v>
      </c>
      <c r="AI29" s="31">
        <f>(1-Reykjavík!C$6)*AI12</f>
        <v>1478.938100218144</v>
      </c>
      <c r="AJ29" s="31">
        <f>(1-Reykjavík!D$6)*AJ12</f>
        <v>1674.8450651928156</v>
      </c>
      <c r="AK29" s="31">
        <f>(1-Reykjavík!E$6)*AK12</f>
        <v>1997.2486552326752</v>
      </c>
      <c r="AL29" s="31">
        <f>(1-Reykjavík!F$6)*AL12</f>
        <v>2006.500468887604</v>
      </c>
      <c r="AM29" s="31">
        <f>(1-Reykjavík!G$6)*AM12</f>
        <v>1824.4349271866201</v>
      </c>
      <c r="AN29" s="31">
        <f>(1-Reykjavík!H$6)*AN12</f>
        <v>1469.509656251329</v>
      </c>
      <c r="AO29" s="31">
        <f>(1-Reykjavík!I$6)*AO12</f>
        <v>1409.7922072321303</v>
      </c>
      <c r="AP29" s="31">
        <f>(1-Reykjavík!J$6)*AP12</f>
        <v>1112.7960651970425</v>
      </c>
    </row>
    <row r="30" spans="1:46" ht="14.25" x14ac:dyDescent="0.65">
      <c r="A30" s="1161"/>
      <c r="B30" s="341" t="s">
        <v>319</v>
      </c>
      <c r="C30" s="342">
        <v>11116.02</v>
      </c>
      <c r="D30" s="343"/>
      <c r="E30" s="345">
        <f>SUM(C23:C30)</f>
        <v>79301.460000000006</v>
      </c>
      <c r="F30" s="673"/>
      <c r="G30" s="1163"/>
      <c r="H30" s="362" t="e">
        <f t="shared" si="8"/>
        <v>#DIV/0!</v>
      </c>
      <c r="I30" s="365" t="e">
        <f t="shared" si="9"/>
        <v>#DIV/0!</v>
      </c>
      <c r="J30" s="365" t="e">
        <f>(#REF!-#REF!)/#REF!</f>
        <v>#REF!</v>
      </c>
      <c r="R30">
        <f t="shared" si="2"/>
        <v>2018.5833333333319</v>
      </c>
      <c r="S30" s="32">
        <f t="shared" si="10"/>
        <v>10329.120000000001</v>
      </c>
      <c r="U30">
        <v>437.18848875999998</v>
      </c>
      <c r="X30" s="32">
        <f>AVERAGE(X25:AB25)</f>
        <v>6446524.3806249909</v>
      </c>
      <c r="AF30" s="31" t="s">
        <v>608</v>
      </c>
      <c r="AG30" s="31">
        <f>(1-Reykjavík!$C$6)*AG13</f>
        <v>36076.75475077195</v>
      </c>
      <c r="AH30" s="31">
        <f>(1-Reykjavík!$C$6)*AH13</f>
        <v>36979.660839555581</v>
      </c>
      <c r="AI30" s="31">
        <f>(1-Reykjavík!C$6)*AI13</f>
        <v>33032.367805104739</v>
      </c>
      <c r="AJ30" s="31">
        <f>(1-Reykjavík!D$6)*AJ13</f>
        <v>37407.987664834232</v>
      </c>
      <c r="AK30" s="31">
        <f>(1-Reykjavík!E$6)*AK13</f>
        <v>44608.934050833755</v>
      </c>
      <c r="AL30" s="31">
        <f>(1-Reykjavík!F$6)*AL13</f>
        <v>44815.575093801563</v>
      </c>
      <c r="AM30" s="31">
        <f>(1-Reykjavík!G$6)*AM13</f>
        <v>40749.106093364382</v>
      </c>
      <c r="AN30" s="31">
        <f>(1-Reykjavík!H$6)*AN13</f>
        <v>32821.781690043055</v>
      </c>
      <c r="AO30" s="31">
        <f>(1-Reykjavík!I$6)*AO13</f>
        <v>31487.980944701652</v>
      </c>
      <c r="AP30" s="31">
        <f>(1-Reykjavík!J$6)*AP13</f>
        <v>24854.51481183706</v>
      </c>
    </row>
    <row r="31" spans="1:46" ht="14.25" x14ac:dyDescent="0.65">
      <c r="A31" s="1161"/>
      <c r="B31" s="341" t="s">
        <v>321</v>
      </c>
      <c r="C31" s="342">
        <v>10037.959999999999</v>
      </c>
      <c r="D31" s="343"/>
      <c r="E31" s="345">
        <f>SUM(C23:C31)</f>
        <v>89339.420000000013</v>
      </c>
      <c r="F31" s="673"/>
      <c r="G31" s="1163"/>
      <c r="H31" s="362" t="e">
        <f t="shared" si="8"/>
        <v>#DIV/0!</v>
      </c>
      <c r="I31" s="365" t="e">
        <f t="shared" si="9"/>
        <v>#DIV/0!</v>
      </c>
      <c r="J31" s="365" t="e">
        <f>(#REF!-#REF!)/#REF!</f>
        <v>#REF!</v>
      </c>
      <c r="R31">
        <f t="shared" si="2"/>
        <v>2018.6666666666652</v>
      </c>
      <c r="S31" s="32">
        <f t="shared" si="10"/>
        <v>9486.02</v>
      </c>
      <c r="U31">
        <v>0.208358918866</v>
      </c>
      <c r="V31">
        <v>29.6</v>
      </c>
      <c r="AF31" t="s">
        <v>610</v>
      </c>
      <c r="AN31" s="31">
        <f>(1-Reykjavík!H$6)*AN14</f>
        <v>923.76912045889094</v>
      </c>
      <c r="AO31" s="31">
        <f>(1-Reykjavík!I$6)*AO14</f>
        <v>7909.0718881313969</v>
      </c>
      <c r="AP31" s="31">
        <f>(1-Reykjavík!J$6)*AP14</f>
        <v>11824.34590291212</v>
      </c>
    </row>
    <row r="32" spans="1:46" ht="14.25" x14ac:dyDescent="0.65">
      <c r="A32" s="1161"/>
      <c r="B32" s="341" t="s">
        <v>323</v>
      </c>
      <c r="C32" s="342">
        <v>10419.18</v>
      </c>
      <c r="D32" s="343"/>
      <c r="E32" s="345">
        <f>SUM(C23:C32)</f>
        <v>99758.6</v>
      </c>
      <c r="F32" s="673"/>
      <c r="G32" s="1163"/>
      <c r="H32" s="362" t="e">
        <f t="shared" si="8"/>
        <v>#DIV/0!</v>
      </c>
      <c r="I32" s="365" t="e">
        <f t="shared" si="9"/>
        <v>#DIV/0!</v>
      </c>
      <c r="J32" s="365" t="e">
        <f>(#REF!-#REF!)/#REF!</f>
        <v>#REF!</v>
      </c>
      <c r="R32">
        <f t="shared" si="2"/>
        <v>2018.7499999999984</v>
      </c>
      <c r="S32" s="32">
        <f t="shared" si="10"/>
        <v>10851.76</v>
      </c>
      <c r="U32">
        <v>5.9697074000000003E-2</v>
      </c>
      <c r="V32">
        <v>273</v>
      </c>
      <c r="Y32" s="31"/>
      <c r="AF32" t="s">
        <v>608</v>
      </c>
      <c r="AN32" s="31">
        <f>(1-Reykjavík!H$6)*AN15</f>
        <v>24.941766252390057</v>
      </c>
      <c r="AO32" s="31">
        <f>(1-Reykjavík!I$6)*AO15</f>
        <v>213.5449409795477</v>
      </c>
      <c r="AP32" s="31">
        <f>(1-Reykjavík!J$6)*AP15</f>
        <v>319.25733937862725</v>
      </c>
    </row>
    <row r="33" spans="1:37" ht="14.25" x14ac:dyDescent="0.65">
      <c r="A33" s="1161"/>
      <c r="B33" s="341" t="s">
        <v>326</v>
      </c>
      <c r="C33" s="342">
        <v>10267.51</v>
      </c>
      <c r="D33" s="343"/>
      <c r="E33" s="345">
        <f>SUM(C23:C33)</f>
        <v>110026.11</v>
      </c>
      <c r="F33" s="673"/>
      <c r="G33" s="1163"/>
      <c r="H33" s="362" t="e">
        <f t="shared" si="8"/>
        <v>#DIV/0!</v>
      </c>
      <c r="I33" s="365" t="e">
        <f t="shared" si="9"/>
        <v>#DIV/0!</v>
      </c>
      <c r="J33" s="365" t="e">
        <f>(#REF!-#REF!)/#REF!</f>
        <v>#REF!</v>
      </c>
      <c r="R33">
        <f t="shared" si="2"/>
        <v>2018.8333333333317</v>
      </c>
      <c r="S33" s="32">
        <f t="shared" si="10"/>
        <v>9454.1200000000008</v>
      </c>
    </row>
    <row r="34" spans="1:37" ht="15" thickBot="1" x14ac:dyDescent="0.8">
      <c r="A34" s="1227"/>
      <c r="B34" s="349" t="s">
        <v>327</v>
      </c>
      <c r="C34" s="350">
        <v>9171.84</v>
      </c>
      <c r="D34" s="353"/>
      <c r="E34" s="345">
        <f>SUM(C23:C34)</f>
        <v>119197.95</v>
      </c>
      <c r="F34" s="673"/>
      <c r="G34" s="1163"/>
      <c r="H34" s="366" t="e">
        <f t="shared" si="8"/>
        <v>#DIV/0!</v>
      </c>
      <c r="I34" s="369" t="e">
        <f t="shared" si="9"/>
        <v>#DIV/0!</v>
      </c>
      <c r="J34" s="369" t="e">
        <f>(#REF!-#REF!)/#REF!</f>
        <v>#REF!</v>
      </c>
      <c r="R34">
        <f t="shared" si="2"/>
        <v>2018.9166666666649</v>
      </c>
      <c r="S34" s="32">
        <f t="shared" si="10"/>
        <v>8887.74</v>
      </c>
    </row>
    <row r="35" spans="1:37" ht="15" thickBot="1" x14ac:dyDescent="0.75">
      <c r="A35" s="354" t="s">
        <v>3</v>
      </c>
      <c r="B35" s="370"/>
      <c r="C35" s="356">
        <f>SUM(C23:C34)</f>
        <v>119197.95</v>
      </c>
      <c r="D35" s="667">
        <v>123079</v>
      </c>
      <c r="E35" s="357">
        <f>E29</f>
        <v>68185.440000000002</v>
      </c>
      <c r="F35" s="671"/>
      <c r="G35" s="1164"/>
      <c r="H35" s="371" t="e">
        <f t="shared" si="8"/>
        <v>#DIV/0!</v>
      </c>
      <c r="I35" s="373" t="e">
        <f t="shared" si="9"/>
        <v>#DIV/0!</v>
      </c>
      <c r="J35" s="373" t="e">
        <f>(#REF!-#REF!)/#REF!</f>
        <v>#REF!</v>
      </c>
      <c r="R35">
        <f t="shared" si="2"/>
        <v>2018.9999999999982</v>
      </c>
      <c r="S35" s="32">
        <f>N13</f>
        <v>10359.98</v>
      </c>
    </row>
    <row r="36" spans="1:37" ht="14.25" customHeight="1" x14ac:dyDescent="0.65">
      <c r="A36" s="1161">
        <v>2018</v>
      </c>
      <c r="B36" s="333" t="s">
        <v>295</v>
      </c>
      <c r="C36" s="334">
        <v>10796.84</v>
      </c>
      <c r="D36" s="335"/>
      <c r="E36" s="337">
        <f>C36</f>
        <v>10796.84</v>
      </c>
      <c r="F36" s="672"/>
      <c r="G36" s="1165" t="str">
        <f>"Milli áranna "&amp; A23&amp;" og "&amp; A36</f>
        <v>Milli áranna 2017 og 2018</v>
      </c>
      <c r="H36" s="360">
        <f t="shared" si="8"/>
        <v>0.14155394046534048</v>
      </c>
      <c r="I36" s="361">
        <f t="shared" si="9"/>
        <v>0.14155394046534048</v>
      </c>
      <c r="J36" s="361" t="e">
        <f>(#REF!-#REF!)/#REF!</f>
        <v>#REF!</v>
      </c>
      <c r="R36">
        <f t="shared" si="2"/>
        <v>2019.0833333333314</v>
      </c>
      <c r="S36" s="32">
        <f t="shared" ref="S36:S46" si="15">N14</f>
        <v>8657.68</v>
      </c>
      <c r="U36">
        <v>0.68400000000000005</v>
      </c>
    </row>
    <row r="37" spans="1:37" ht="15" thickBot="1" x14ac:dyDescent="0.8">
      <c r="A37" s="1161"/>
      <c r="B37" s="341" t="s">
        <v>299</v>
      </c>
      <c r="C37" s="342">
        <v>9341.42</v>
      </c>
      <c r="D37" s="343"/>
      <c r="E37" s="345">
        <f>SUM(C36:C37)</f>
        <v>20138.260000000002</v>
      </c>
      <c r="F37" s="673"/>
      <c r="G37" s="1163"/>
      <c r="H37" s="362">
        <f t="shared" si="8"/>
        <v>8.3741704951505833E-2</v>
      </c>
      <c r="I37" s="365">
        <f t="shared" si="9"/>
        <v>0.11398845644504084</v>
      </c>
      <c r="J37" s="365" t="e">
        <f>(#REF!-#REF!)/#REF!</f>
        <v>#REF!</v>
      </c>
      <c r="R37">
        <f t="shared" si="2"/>
        <v>2019.1666666666647</v>
      </c>
      <c r="S37" s="32">
        <f t="shared" si="15"/>
        <v>8700.56</v>
      </c>
    </row>
    <row r="38" spans="1:37" ht="15" thickBot="1" x14ac:dyDescent="0.8">
      <c r="A38" s="1161"/>
      <c r="B38" s="341" t="s">
        <v>303</v>
      </c>
      <c r="C38" s="342">
        <v>9466.7000000000007</v>
      </c>
      <c r="D38" s="343"/>
      <c r="E38" s="345">
        <f>SUM(C36:C38)</f>
        <v>29604.960000000003</v>
      </c>
      <c r="F38" s="673"/>
      <c r="G38" s="1163"/>
      <c r="H38" s="362">
        <f t="shared" si="8"/>
        <v>-4.7040467082746049E-2</v>
      </c>
      <c r="I38" s="365">
        <f t="shared" si="9"/>
        <v>5.6881394221398117E-2</v>
      </c>
      <c r="J38" s="365" t="e">
        <f>(#REF!-#REF!)/#REF!</f>
        <v>#REF!</v>
      </c>
      <c r="R38">
        <f t="shared" si="2"/>
        <v>2019.249999999998</v>
      </c>
      <c r="S38" s="32">
        <f t="shared" si="15"/>
        <v>8838.84</v>
      </c>
      <c r="AF38" s="675" t="s">
        <v>592</v>
      </c>
      <c r="AG38" s="759">
        <v>2021</v>
      </c>
      <c r="AH38" s="676">
        <v>2020</v>
      </c>
      <c r="AI38" s="677">
        <v>2019</v>
      </c>
      <c r="AJ38" s="678">
        <v>2018</v>
      </c>
      <c r="AK38" s="678">
        <v>2017</v>
      </c>
    </row>
    <row r="39" spans="1:37" ht="15" thickBot="1" x14ac:dyDescent="0.8">
      <c r="A39" s="1161"/>
      <c r="B39" s="341" t="s">
        <v>306</v>
      </c>
      <c r="C39" s="342">
        <v>9656.73</v>
      </c>
      <c r="D39" s="343"/>
      <c r="E39" s="345">
        <f>SUM(C36:C39)</f>
        <v>39261.69</v>
      </c>
      <c r="F39" s="673"/>
      <c r="G39" s="1163"/>
      <c r="H39" s="362">
        <f t="shared" si="8"/>
        <v>0.16957706562023098</v>
      </c>
      <c r="I39" s="365">
        <f t="shared" ref="I39:I54" si="16">(E39-E26)/E26</f>
        <v>8.2536997955786118E-2</v>
      </c>
      <c r="J39" s="365" t="e">
        <f>(#REF!-#REF!)/#REF!</f>
        <v>#REF!</v>
      </c>
      <c r="R39">
        <f t="shared" si="2"/>
        <v>2019.3333333333312</v>
      </c>
      <c r="S39" s="32">
        <f t="shared" si="15"/>
        <v>10672.39</v>
      </c>
      <c r="AF39" s="679" t="s">
        <v>600</v>
      </c>
      <c r="AH39" s="761" t="s">
        <v>621</v>
      </c>
      <c r="AI39" s="680">
        <v>5378535</v>
      </c>
      <c r="AJ39" s="762" t="s">
        <v>622</v>
      </c>
      <c r="AK39" s="760" t="s">
        <v>623</v>
      </c>
    </row>
    <row r="40" spans="1:37" ht="15" thickBot="1" x14ac:dyDescent="0.8">
      <c r="A40" s="1161"/>
      <c r="B40" s="341" t="s">
        <v>310</v>
      </c>
      <c r="C40" s="342">
        <v>10785.22</v>
      </c>
      <c r="D40" s="343"/>
      <c r="E40" s="345">
        <f>SUM(C36:C40)</f>
        <v>50046.91</v>
      </c>
      <c r="F40" s="673"/>
      <c r="G40" s="1163"/>
      <c r="H40" s="362">
        <f t="shared" si="8"/>
        <v>1.8095968101254249E-2</v>
      </c>
      <c r="I40" s="365">
        <f t="shared" si="16"/>
        <v>6.7969520551306839E-2</v>
      </c>
      <c r="J40" s="365" t="e">
        <f>(#REF!-#REF!)/#REF!</f>
        <v>#REF!</v>
      </c>
      <c r="R40">
        <f t="shared" si="2"/>
        <v>2019.4166666666645</v>
      </c>
      <c r="S40" s="32">
        <f t="shared" si="15"/>
        <v>8821.0400000000009</v>
      </c>
      <c r="AF40" s="679" t="s">
        <v>605</v>
      </c>
      <c r="AH40" s="760" t="s">
        <v>624</v>
      </c>
      <c r="AI40" s="681">
        <v>5556521</v>
      </c>
      <c r="AJ40" s="762" t="s">
        <v>625</v>
      </c>
      <c r="AK40" s="760" t="s">
        <v>626</v>
      </c>
    </row>
    <row r="41" spans="1:37" ht="15" thickBot="1" x14ac:dyDescent="0.8">
      <c r="A41" s="1161"/>
      <c r="B41" s="341" t="s">
        <v>314</v>
      </c>
      <c r="C41" s="342">
        <v>10218.74</v>
      </c>
      <c r="D41" s="343"/>
      <c r="E41" s="345">
        <f>SUM(C36:C41)</f>
        <v>60265.65</v>
      </c>
      <c r="F41" s="673"/>
      <c r="G41" s="1163"/>
      <c r="H41" s="362">
        <f t="shared" si="8"/>
        <v>-4.805936668579474E-2</v>
      </c>
      <c r="I41" s="365">
        <f t="shared" si="16"/>
        <v>4.6344405672717567E-2</v>
      </c>
      <c r="J41" s="365" t="e">
        <f>(#REF!-#REF!)/#REF!</f>
        <v>#REF!</v>
      </c>
      <c r="R41">
        <f t="shared" si="2"/>
        <v>2019.4999999999977</v>
      </c>
      <c r="S41" s="32">
        <f t="shared" si="15"/>
        <v>9611.26</v>
      </c>
      <c r="AF41" s="679" t="s">
        <v>607</v>
      </c>
      <c r="AH41" s="760" t="s">
        <v>627</v>
      </c>
      <c r="AI41" s="681">
        <v>1989735</v>
      </c>
      <c r="AJ41" s="762" t="s">
        <v>628</v>
      </c>
      <c r="AK41" s="760" t="s">
        <v>629</v>
      </c>
    </row>
    <row r="42" spans="1:37" ht="15" thickBot="1" x14ac:dyDescent="0.8">
      <c r="A42" s="1161"/>
      <c r="B42" s="341" t="s">
        <v>316</v>
      </c>
      <c r="C42" s="342">
        <v>10590.94</v>
      </c>
      <c r="D42" s="343"/>
      <c r="E42" s="345">
        <f>SUM(C36:C42)</f>
        <v>70856.59</v>
      </c>
      <c r="F42" s="673"/>
      <c r="G42" s="1163"/>
      <c r="H42" s="362">
        <f t="shared" si="8"/>
        <v>1.7754172702780216E-4</v>
      </c>
      <c r="I42" s="365">
        <f t="shared" si="16"/>
        <v>3.9174785702050088E-2</v>
      </c>
      <c r="J42" s="365" t="e">
        <f>(#REF!-#REF!)/#REF!</f>
        <v>#REF!</v>
      </c>
      <c r="R42">
        <f t="shared" si="2"/>
        <v>2019.583333333331</v>
      </c>
      <c r="S42" s="32">
        <f t="shared" si="15"/>
        <v>8938.94</v>
      </c>
      <c r="AF42" s="763" t="s">
        <v>609</v>
      </c>
      <c r="AH42" s="764" t="s">
        <v>630</v>
      </c>
      <c r="AI42" s="680">
        <v>5511816</v>
      </c>
      <c r="AJ42" s="764" t="s">
        <v>631</v>
      </c>
      <c r="AK42" s="764" t="s">
        <v>632</v>
      </c>
    </row>
    <row r="43" spans="1:37" ht="14.25" x14ac:dyDescent="0.65">
      <c r="A43" s="1161"/>
      <c r="B43" s="341" t="s">
        <v>319</v>
      </c>
      <c r="C43" s="342">
        <v>10329.120000000001</v>
      </c>
      <c r="D43" s="343"/>
      <c r="E43" s="345">
        <f>SUM(C36:C43)</f>
        <v>81185.709999999992</v>
      </c>
      <c r="F43" s="673"/>
      <c r="G43" s="1163"/>
      <c r="H43" s="362">
        <f t="shared" si="8"/>
        <v>-7.0789725099451029E-2</v>
      </c>
      <c r="I43" s="365">
        <f t="shared" si="16"/>
        <v>2.3760596589268157E-2</v>
      </c>
      <c r="J43" s="365" t="e">
        <f>(#REF!-#REF!)/#REF!</f>
        <v>#REF!</v>
      </c>
      <c r="R43">
        <f t="shared" si="2"/>
        <v>2019.6666666666642</v>
      </c>
      <c r="S43" s="32">
        <f t="shared" si="15"/>
        <v>9020.64</v>
      </c>
    </row>
    <row r="44" spans="1:37" ht="14.25" x14ac:dyDescent="0.65">
      <c r="A44" s="1161"/>
      <c r="B44" s="341" t="s">
        <v>321</v>
      </c>
      <c r="C44" s="342">
        <v>9486.02</v>
      </c>
      <c r="D44" s="343"/>
      <c r="E44" s="345">
        <f>SUM(C36:C44)</f>
        <v>90671.73</v>
      </c>
      <c r="F44" s="673"/>
      <c r="G44" s="1163"/>
      <c r="H44" s="362">
        <f t="shared" si="8"/>
        <v>-5.4985275892711141E-2</v>
      </c>
      <c r="I44" s="365">
        <f t="shared" si="16"/>
        <v>1.4912901829897518E-2</v>
      </c>
      <c r="J44" s="365" t="e">
        <f>(#REF!-#REF!)/#REF!</f>
        <v>#REF!</v>
      </c>
      <c r="R44">
        <f t="shared" si="2"/>
        <v>2019.7499999999975</v>
      </c>
      <c r="S44" s="32">
        <f t="shared" si="15"/>
        <v>8615.68</v>
      </c>
    </row>
    <row r="45" spans="1:37" ht="15" thickBot="1" x14ac:dyDescent="0.8">
      <c r="A45" s="1161"/>
      <c r="B45" s="341" t="s">
        <v>323</v>
      </c>
      <c r="C45" s="342">
        <v>10851.76</v>
      </c>
      <c r="D45" s="343"/>
      <c r="E45" s="345">
        <f>SUM(C36:C45)</f>
        <v>101523.48999999999</v>
      </c>
      <c r="F45" s="673"/>
      <c r="G45" s="1163"/>
      <c r="H45" s="362">
        <f t="shared" si="8"/>
        <v>4.1517662618363434E-2</v>
      </c>
      <c r="I45" s="365">
        <f t="shared" si="16"/>
        <v>1.7691607540602863E-2</v>
      </c>
      <c r="J45" s="365" t="e">
        <f>(#REF!-#REF!)/#REF!</f>
        <v>#REF!</v>
      </c>
      <c r="R45">
        <f t="shared" si="2"/>
        <v>2019.8333333333308</v>
      </c>
      <c r="S45" s="32">
        <f t="shared" si="15"/>
        <v>7421.58</v>
      </c>
      <c r="AF45" s="758" t="s">
        <v>613</v>
      </c>
      <c r="AG45" s="767" t="s">
        <v>633</v>
      </c>
      <c r="AH45" s="768" t="s">
        <v>634</v>
      </c>
      <c r="AI45" s="683">
        <v>18436607</v>
      </c>
      <c r="AJ45" s="769" t="s">
        <v>635</v>
      </c>
      <c r="AK45" s="767" t="s">
        <v>636</v>
      </c>
    </row>
    <row r="46" spans="1:37" ht="15" thickBot="1" x14ac:dyDescent="0.8">
      <c r="A46" s="1161"/>
      <c r="B46" s="341" t="s">
        <v>326</v>
      </c>
      <c r="C46" s="342">
        <v>9454.1200000000008</v>
      </c>
      <c r="D46" s="343"/>
      <c r="E46" s="345">
        <f>SUM(C36:C46)</f>
        <v>110977.60999999999</v>
      </c>
      <c r="F46" s="673"/>
      <c r="G46" s="1163"/>
      <c r="H46" s="362">
        <f t="shared" si="8"/>
        <v>-7.9219791361293965E-2</v>
      </c>
      <c r="I46" s="365">
        <f t="shared" si="16"/>
        <v>8.647947291783609E-3</v>
      </c>
      <c r="J46" s="365" t="e">
        <f>(#REF!-#REF!)/#REF!</f>
        <v>#REF!</v>
      </c>
      <c r="R46">
        <f t="shared" si="2"/>
        <v>2019.916666666664</v>
      </c>
      <c r="S46" s="32">
        <f t="shared" si="15"/>
        <v>7410.2</v>
      </c>
      <c r="AF46" s="679" t="s">
        <v>93</v>
      </c>
      <c r="AH46" s="760" t="s">
        <v>637</v>
      </c>
      <c r="AI46" s="681">
        <v>10549953</v>
      </c>
      <c r="AJ46" s="762" t="s">
        <v>638</v>
      </c>
      <c r="AK46" s="760" t="s">
        <v>639</v>
      </c>
    </row>
    <row r="47" spans="1:37" ht="15" thickBot="1" x14ac:dyDescent="0.8">
      <c r="A47" s="1227"/>
      <c r="B47" s="349" t="s">
        <v>327</v>
      </c>
      <c r="C47" s="350">
        <v>8887.74</v>
      </c>
      <c r="D47" s="353"/>
      <c r="E47" s="345">
        <f>SUM(C36:C47)</f>
        <v>119865.34999999999</v>
      </c>
      <c r="F47" s="673"/>
      <c r="G47" s="1163"/>
      <c r="H47" s="366">
        <f t="shared" si="8"/>
        <v>-3.0975245970274269E-2</v>
      </c>
      <c r="I47" s="369">
        <f t="shared" si="16"/>
        <v>5.5990895816580254E-3</v>
      </c>
      <c r="J47" s="369" t="e">
        <f>(#REF!-#REF!)/#REF!</f>
        <v>#REF!</v>
      </c>
      <c r="R47">
        <f t="shared" si="2"/>
        <v>2019.9999999999973</v>
      </c>
      <c r="S47" s="32">
        <f>M13</f>
        <v>8379.56</v>
      </c>
      <c r="AF47" s="679" t="s">
        <v>614</v>
      </c>
      <c r="AH47" s="760" t="s">
        <v>640</v>
      </c>
      <c r="AI47" s="681">
        <v>3709166</v>
      </c>
      <c r="AJ47" s="762" t="s">
        <v>641</v>
      </c>
      <c r="AK47" s="760" t="s">
        <v>642</v>
      </c>
    </row>
    <row r="48" spans="1:37" ht="15" thickBot="1" x14ac:dyDescent="0.75">
      <c r="A48" s="354" t="s">
        <v>3</v>
      </c>
      <c r="B48" s="370"/>
      <c r="C48" s="356">
        <f>SUM(C36:C47)</f>
        <v>119865.34999999999</v>
      </c>
      <c r="D48" s="667">
        <f>263064*0.495</f>
        <v>130216.68</v>
      </c>
      <c r="E48" s="357">
        <f>E42</f>
        <v>70856.59</v>
      </c>
      <c r="F48" s="671"/>
      <c r="G48" s="1164"/>
      <c r="H48" s="371">
        <f t="shared" si="8"/>
        <v>5.5990895816580254E-3</v>
      </c>
      <c r="I48" s="373">
        <f t="shared" si="16"/>
        <v>3.9174785702050088E-2</v>
      </c>
      <c r="J48" s="373" t="e">
        <f>(#REF!-#REF!)/#REF!</f>
        <v>#REF!</v>
      </c>
      <c r="R48">
        <f t="shared" si="2"/>
        <v>2020.0833333333305</v>
      </c>
      <c r="S48" s="32">
        <f t="shared" ref="S48:S54" si="17">M14</f>
        <v>6154.64</v>
      </c>
      <c r="AF48" s="763" t="s">
        <v>615</v>
      </c>
      <c r="AH48" s="764" t="s">
        <v>643</v>
      </c>
      <c r="AI48" s="680">
        <v>3422418</v>
      </c>
      <c r="AJ48" s="764" t="s">
        <v>644</v>
      </c>
      <c r="AK48" s="764" t="s">
        <v>645</v>
      </c>
    </row>
    <row r="49" spans="1:37" ht="14.25" customHeight="1" x14ac:dyDescent="0.65">
      <c r="A49" s="1161">
        <v>2019</v>
      </c>
      <c r="B49" s="333" t="s">
        <v>295</v>
      </c>
      <c r="C49" s="334">
        <v>10359.98</v>
      </c>
      <c r="D49" s="335"/>
      <c r="E49" s="337">
        <f>C49</f>
        <v>10359.98</v>
      </c>
      <c r="F49" s="672"/>
      <c r="G49" s="1165" t="str">
        <f>"Milli áranna "&amp; A36&amp;" og "&amp; A49</f>
        <v>Milli áranna 2018 og 2019</v>
      </c>
      <c r="H49" s="360">
        <f t="shared" si="8"/>
        <v>-4.046183883432565E-2</v>
      </c>
      <c r="I49" s="361">
        <f t="shared" si="16"/>
        <v>-4.046183883432565E-2</v>
      </c>
      <c r="J49" s="361" t="e">
        <f>(#REF!-#REF!)/#REF!</f>
        <v>#REF!</v>
      </c>
      <c r="R49">
        <f t="shared" si="2"/>
        <v>2020.1666666666638</v>
      </c>
      <c r="S49" s="32">
        <f t="shared" si="17"/>
        <v>7204.3</v>
      </c>
    </row>
    <row r="50" spans="1:37" ht="14.25" x14ac:dyDescent="0.65">
      <c r="A50" s="1161"/>
      <c r="B50" s="341" t="s">
        <v>299</v>
      </c>
      <c r="C50" s="342">
        <v>8657.68</v>
      </c>
      <c r="D50" s="343"/>
      <c r="E50" s="345">
        <f>SUM(C49:C50)</f>
        <v>19017.66</v>
      </c>
      <c r="F50" s="673"/>
      <c r="G50" s="1163"/>
      <c r="H50" s="362">
        <f t="shared" si="8"/>
        <v>-7.3194439389300536E-2</v>
      </c>
      <c r="I50" s="365">
        <f t="shared" si="16"/>
        <v>-5.5645323876045004E-2</v>
      </c>
      <c r="J50" s="365" t="e">
        <f>(#REF!-#REF!)/#REF!</f>
        <v>#REF!</v>
      </c>
      <c r="R50">
        <f t="shared" si="2"/>
        <v>2020.249999999997</v>
      </c>
      <c r="S50" s="32">
        <f t="shared" si="17"/>
        <v>7158.26</v>
      </c>
    </row>
    <row r="51" spans="1:37" ht="15" thickBot="1" x14ac:dyDescent="0.8">
      <c r="A51" s="1161"/>
      <c r="B51" s="341" t="s">
        <v>303</v>
      </c>
      <c r="C51" s="342">
        <v>8700.56</v>
      </c>
      <c r="D51" s="343"/>
      <c r="E51" s="345">
        <f>SUM(C49:C51)</f>
        <v>27718.22</v>
      </c>
      <c r="F51" s="673"/>
      <c r="G51" s="1163"/>
      <c r="H51" s="362">
        <f t="shared" si="8"/>
        <v>-8.0929996725363773E-2</v>
      </c>
      <c r="I51" s="365">
        <f t="shared" si="16"/>
        <v>-6.3730537045143837E-2</v>
      </c>
      <c r="J51" s="365" t="e">
        <f>(#REF!-#REF!)/#REF!</f>
        <v>#REF!</v>
      </c>
      <c r="R51">
        <f t="shared" si="2"/>
        <v>2020.3333333333303</v>
      </c>
      <c r="S51" s="32">
        <f t="shared" si="17"/>
        <v>6950.12</v>
      </c>
      <c r="AF51" s="758" t="s">
        <v>617</v>
      </c>
      <c r="AG51" s="767" t="s">
        <v>633</v>
      </c>
      <c r="AH51" s="768" t="s">
        <v>634</v>
      </c>
      <c r="AI51" s="683">
        <v>18436607</v>
      </c>
      <c r="AJ51" s="769" t="s">
        <v>635</v>
      </c>
      <c r="AK51" s="767" t="s">
        <v>636</v>
      </c>
    </row>
    <row r="52" spans="1:37" ht="14.25" x14ac:dyDescent="0.65">
      <c r="A52" s="1161"/>
      <c r="B52" s="341" t="s">
        <v>306</v>
      </c>
      <c r="C52" s="342">
        <v>8838.84</v>
      </c>
      <c r="D52" s="343"/>
      <c r="E52" s="345">
        <f>SUM(C49:C52)</f>
        <v>36557.06</v>
      </c>
      <c r="F52" s="673"/>
      <c r="G52" s="1163"/>
      <c r="H52" s="362">
        <f t="shared" si="8"/>
        <v>-8.4696372374499382E-2</v>
      </c>
      <c r="I52" s="365">
        <f t="shared" si="16"/>
        <v>-6.8887253707112572E-2</v>
      </c>
      <c r="J52" s="365" t="e">
        <f>(#REF!-#REF!)/#REF!</f>
        <v>#REF!</v>
      </c>
      <c r="R52">
        <f t="shared" si="2"/>
        <v>2020.4166666666636</v>
      </c>
      <c r="S52" s="32">
        <f t="shared" si="17"/>
        <v>7245.1</v>
      </c>
    </row>
    <row r="53" spans="1:37" ht="14.25" x14ac:dyDescent="0.65">
      <c r="A53" s="1161"/>
      <c r="B53" s="341" t="s">
        <v>310</v>
      </c>
      <c r="C53" s="342">
        <v>10672.39</v>
      </c>
      <c r="D53" s="343"/>
      <c r="E53" s="345">
        <f>SUM(C49:C53)</f>
        <v>47229.45</v>
      </c>
      <c r="F53" s="673"/>
      <c r="G53" s="1163"/>
      <c r="H53" s="362">
        <f t="shared" si="8"/>
        <v>-1.0461539032119877E-2</v>
      </c>
      <c r="I53" s="365">
        <f t="shared" si="16"/>
        <v>-5.6296382733719348E-2</v>
      </c>
      <c r="J53" s="365" t="e">
        <f>(#REF!-#REF!)/#REF!</f>
        <v>#REF!</v>
      </c>
      <c r="R53">
        <f t="shared" si="2"/>
        <v>2020.4999999999968</v>
      </c>
      <c r="S53" s="32">
        <f t="shared" si="17"/>
        <v>7600.9</v>
      </c>
    </row>
    <row r="54" spans="1:37" ht="14.25" x14ac:dyDescent="0.65">
      <c r="A54" s="1161"/>
      <c r="B54" s="341" t="s">
        <v>314</v>
      </c>
      <c r="C54" s="342">
        <v>8821.0400000000009</v>
      </c>
      <c r="D54" s="343"/>
      <c r="E54" s="345">
        <f>SUM(C49:C54)</f>
        <v>56050.49</v>
      </c>
      <c r="F54" s="673"/>
      <c r="G54" s="1163"/>
      <c r="H54" s="362">
        <f t="shared" si="8"/>
        <v>-0.13677811550151966</v>
      </c>
      <c r="I54" s="365">
        <f t="shared" si="16"/>
        <v>-6.9942994060464017E-2</v>
      </c>
      <c r="J54" s="365" t="e">
        <f>(#REF!-#REF!)/#REF!</f>
        <v>#REF!</v>
      </c>
      <c r="R54">
        <f t="shared" si="2"/>
        <v>2020.5833333333301</v>
      </c>
      <c r="S54" s="32">
        <f t="shared" si="17"/>
        <v>6408.64</v>
      </c>
    </row>
    <row r="55" spans="1:37" ht="14.25" x14ac:dyDescent="0.65">
      <c r="A55" s="1161"/>
      <c r="B55" s="341" t="s">
        <v>316</v>
      </c>
      <c r="C55" s="342">
        <v>9611.26</v>
      </c>
      <c r="D55" s="343"/>
      <c r="E55" s="345">
        <f>SUM(C49:C55)</f>
        <v>65661.75</v>
      </c>
      <c r="F55" s="673"/>
      <c r="G55" s="1163"/>
      <c r="H55" s="362">
        <f t="shared" ref="H55:H74" si="18">(C55-C42)/C42</f>
        <v>-9.2501704286871628E-2</v>
      </c>
      <c r="I55" s="365">
        <f t="shared" ref="I55:I67" si="19">(E55-E42)/E42</f>
        <v>-7.3314846226723532E-2</v>
      </c>
      <c r="J55" s="365" t="e">
        <f>(#REF!-#REF!)/#REF!</f>
        <v>#REF!</v>
      </c>
      <c r="R55">
        <f t="shared" si="2"/>
        <v>2020.6666666666633</v>
      </c>
      <c r="S55" s="32">
        <f>M21</f>
        <v>7314.64</v>
      </c>
    </row>
    <row r="56" spans="1:37" ht="14.25" x14ac:dyDescent="0.65">
      <c r="A56" s="1161"/>
      <c r="B56" s="341" t="s">
        <v>319</v>
      </c>
      <c r="C56" s="342">
        <v>8938.94</v>
      </c>
      <c r="D56" s="343"/>
      <c r="E56" s="345">
        <f>SUM(C49:C56)</f>
        <v>74600.69</v>
      </c>
      <c r="F56" s="673"/>
      <c r="G56" s="1163"/>
      <c r="H56" s="362">
        <f t="shared" si="18"/>
        <v>-0.13458842573229859</v>
      </c>
      <c r="I56" s="365">
        <f t="shared" si="19"/>
        <v>-8.1110579682064615E-2</v>
      </c>
      <c r="J56" s="365" t="e">
        <f>(#REF!-#REF!)/#REF!</f>
        <v>#REF!</v>
      </c>
      <c r="S56" s="32"/>
    </row>
    <row r="57" spans="1:37" ht="14.25" x14ac:dyDescent="0.65">
      <c r="A57" s="1161"/>
      <c r="B57" s="341" t="s">
        <v>321</v>
      </c>
      <c r="C57" s="342">
        <v>9020.64</v>
      </c>
      <c r="D57" s="343"/>
      <c r="E57" s="345">
        <f>SUM(C49:C57)</f>
        <v>83621.33</v>
      </c>
      <c r="F57" s="673"/>
      <c r="G57" s="1163"/>
      <c r="H57" s="362">
        <f t="shared" si="18"/>
        <v>-4.9059563441780744E-2</v>
      </c>
      <c r="I57" s="365">
        <f t="shared" si="19"/>
        <v>-7.775742229689446E-2</v>
      </c>
      <c r="J57" s="365" t="e">
        <f>(#REF!-#REF!)/#REF!</f>
        <v>#REF!</v>
      </c>
    </row>
    <row r="58" spans="1:37" ht="14.25" x14ac:dyDescent="0.65">
      <c r="A58" s="1161"/>
      <c r="B58" s="341" t="s">
        <v>323</v>
      </c>
      <c r="C58" s="342">
        <v>8615.68</v>
      </c>
      <c r="D58" s="343"/>
      <c r="E58" s="345">
        <f>SUM(C49:C58)</f>
        <v>92237.010000000009</v>
      </c>
      <c r="F58" s="673"/>
      <c r="G58" s="1163"/>
      <c r="H58" s="362">
        <f t="shared" si="18"/>
        <v>-0.20605689768295649</v>
      </c>
      <c r="I58" s="365">
        <f t="shared" si="19"/>
        <v>-9.1471244733607779E-2</v>
      </c>
      <c r="J58" s="365" t="e">
        <f>(#REF!-#REF!)/#REF!</f>
        <v>#REF!</v>
      </c>
    </row>
    <row r="59" spans="1:37" ht="14.25" x14ac:dyDescent="0.65">
      <c r="A59" s="1161"/>
      <c r="B59" s="341" t="s">
        <v>326</v>
      </c>
      <c r="C59" s="342">
        <v>7421.58</v>
      </c>
      <c r="D59" s="343"/>
      <c r="E59" s="345">
        <f>SUM(C49:C59)</f>
        <v>99658.590000000011</v>
      </c>
      <c r="F59" s="673"/>
      <c r="G59" s="1163"/>
      <c r="H59" s="362">
        <f t="shared" si="18"/>
        <v>-0.21498986685170071</v>
      </c>
      <c r="I59" s="365">
        <f t="shared" si="19"/>
        <v>-0.10199372648230554</v>
      </c>
      <c r="J59" s="365" t="e">
        <f>(#REF!-#REF!)/#REF!</f>
        <v>#REF!</v>
      </c>
    </row>
    <row r="60" spans="1:37" ht="15" thickBot="1" x14ac:dyDescent="0.8">
      <c r="A60" s="1227"/>
      <c r="B60" s="349" t="s">
        <v>327</v>
      </c>
      <c r="C60" s="350">
        <v>7410.2</v>
      </c>
      <c r="D60" s="353"/>
      <c r="E60" s="345">
        <f>SUM(C49:C60)</f>
        <v>107068.79000000001</v>
      </c>
      <c r="F60" s="673"/>
      <c r="G60" s="1163"/>
      <c r="H60" s="366">
        <f t="shared" si="18"/>
        <v>-0.16624473713227433</v>
      </c>
      <c r="I60" s="369">
        <f t="shared" si="19"/>
        <v>-0.10675779113813945</v>
      </c>
      <c r="J60" s="369" t="e">
        <f>(#REF!-#REF!)/#REF!</f>
        <v>#REF!</v>
      </c>
    </row>
    <row r="61" spans="1:37" ht="15" thickBot="1" x14ac:dyDescent="0.75">
      <c r="A61" s="354" t="s">
        <v>3</v>
      </c>
      <c r="B61" s="370"/>
      <c r="C61" s="356">
        <f>SUM(C49:C60)</f>
        <v>107068.79000000001</v>
      </c>
      <c r="D61" s="667">
        <f>224756*0.504</f>
        <v>113277.024</v>
      </c>
      <c r="E61" s="357">
        <f>E55</f>
        <v>65661.75</v>
      </c>
      <c r="F61" s="671"/>
      <c r="G61" s="1164"/>
      <c r="H61" s="371">
        <f t="shared" si="18"/>
        <v>-0.10675779113813945</v>
      </c>
      <c r="I61" s="373">
        <f t="shared" si="19"/>
        <v>-7.3314846226723532E-2</v>
      </c>
      <c r="J61" s="373" t="e">
        <f>(#REF!-#REF!)/#REF!</f>
        <v>#REF!</v>
      </c>
    </row>
    <row r="62" spans="1:37" ht="14.25" customHeight="1" x14ac:dyDescent="0.65">
      <c r="A62" s="1161">
        <v>2020</v>
      </c>
      <c r="B62" s="333" t="s">
        <v>295</v>
      </c>
      <c r="C62" s="334">
        <v>8379.56</v>
      </c>
      <c r="D62" s="335"/>
      <c r="E62" s="337">
        <f>C62</f>
        <v>8379.56</v>
      </c>
      <c r="F62" s="672"/>
      <c r="G62" s="1165" t="str">
        <f>"Milli áranna "&amp; A49&amp;" og "&amp; A62</f>
        <v>Milli áranna 2019 og 2020</v>
      </c>
      <c r="H62" s="360">
        <f t="shared" si="18"/>
        <v>-0.19116060069614035</v>
      </c>
      <c r="I62" s="361">
        <f t="shared" si="19"/>
        <v>-0.19116060069614035</v>
      </c>
      <c r="J62" s="361" t="e">
        <f>(#REF!-#REF!)/#REF!</f>
        <v>#REF!</v>
      </c>
    </row>
    <row r="63" spans="1:37" ht="14.25" x14ac:dyDescent="0.65">
      <c r="A63" s="1161"/>
      <c r="B63" s="341" t="s">
        <v>299</v>
      </c>
      <c r="C63" s="342">
        <v>6154.64</v>
      </c>
      <c r="D63" s="343"/>
      <c r="E63" s="345">
        <f>SUM(C62:C63)</f>
        <v>14534.2</v>
      </c>
      <c r="F63" s="673"/>
      <c r="G63" s="1163"/>
      <c r="H63" s="362">
        <f t="shared" si="18"/>
        <v>-0.28911209469511462</v>
      </c>
      <c r="I63" s="365">
        <f t="shared" si="19"/>
        <v>-0.23575245324608807</v>
      </c>
      <c r="J63" s="365" t="e">
        <f>(#REF!-#REF!)/#REF!</f>
        <v>#REF!</v>
      </c>
    </row>
    <row r="64" spans="1:37" ht="14.25" x14ac:dyDescent="0.65">
      <c r="A64" s="1161"/>
      <c r="B64" s="341" t="s">
        <v>303</v>
      </c>
      <c r="C64" s="342">
        <v>7204.3</v>
      </c>
      <c r="D64" s="343"/>
      <c r="E64" s="345">
        <f>SUM(C62:C64)</f>
        <v>21738.5</v>
      </c>
      <c r="F64" s="673"/>
      <c r="G64" s="1163"/>
      <c r="H64" s="362">
        <f t="shared" si="18"/>
        <v>-0.17197283852993364</v>
      </c>
      <c r="I64" s="365">
        <f t="shared" si="19"/>
        <v>-0.21573246766928039</v>
      </c>
      <c r="J64" s="365" t="e">
        <f>(#REF!-#REF!)/#REF!</f>
        <v>#REF!</v>
      </c>
      <c r="K64" t="s">
        <v>646</v>
      </c>
    </row>
    <row r="65" spans="1:15" ht="14.25" x14ac:dyDescent="0.65">
      <c r="A65" s="1161"/>
      <c r="B65" s="341" t="s">
        <v>306</v>
      </c>
      <c r="C65" s="342">
        <v>7158.26</v>
      </c>
      <c r="D65" s="343"/>
      <c r="E65" s="345">
        <f>SUM(C62:C65)</f>
        <v>28896.760000000002</v>
      </c>
      <c r="F65" s="673"/>
      <c r="G65" s="1163"/>
      <c r="H65" s="362">
        <f t="shared" si="18"/>
        <v>-0.19013580967638286</v>
      </c>
      <c r="I65" s="365">
        <f t="shared" si="19"/>
        <v>-0.20954365586291665</v>
      </c>
      <c r="J65" s="365" t="e">
        <f>(#REF!-#REF!)/#REF!</f>
        <v>#REF!</v>
      </c>
      <c r="K65" t="s">
        <v>647</v>
      </c>
    </row>
    <row r="66" spans="1:15" ht="14.25" x14ac:dyDescent="0.65">
      <c r="A66" s="1161"/>
      <c r="B66" s="341" t="s">
        <v>310</v>
      </c>
      <c r="C66" s="342">
        <v>6950.12</v>
      </c>
      <c r="D66" s="343"/>
      <c r="E66" s="345">
        <f>SUM(C62:C66)</f>
        <v>35846.880000000005</v>
      </c>
      <c r="F66" s="673"/>
      <c r="G66" s="1163"/>
      <c r="H66" s="362">
        <f t="shared" si="18"/>
        <v>-0.34877567255319564</v>
      </c>
      <c r="I66" s="365">
        <f t="shared" si="19"/>
        <v>-0.24100577076379237</v>
      </c>
      <c r="J66" s="365" t="e">
        <f>(#REF!-#REF!)/#REF!</f>
        <v>#REF!</v>
      </c>
      <c r="K66" t="s">
        <v>648</v>
      </c>
    </row>
    <row r="67" spans="1:15" ht="14.25" x14ac:dyDescent="0.65">
      <c r="A67" s="1161"/>
      <c r="B67" s="341" t="s">
        <v>314</v>
      </c>
      <c r="C67" s="342">
        <v>7245.1</v>
      </c>
      <c r="D67" s="343"/>
      <c r="E67" s="345">
        <f>SUM(C62:C67)</f>
        <v>43091.98</v>
      </c>
      <c r="F67" s="673"/>
      <c r="G67" s="1163"/>
      <c r="H67" s="362">
        <f t="shared" si="18"/>
        <v>-0.17865693841089036</v>
      </c>
      <c r="I67" s="365">
        <f t="shared" si="19"/>
        <v>-0.23119351855800002</v>
      </c>
      <c r="J67" s="365" t="e">
        <f>(#REF!-#REF!)/#REF!</f>
        <v>#REF!</v>
      </c>
    </row>
    <row r="68" spans="1:15" ht="14.25" x14ac:dyDescent="0.65">
      <c r="A68" s="1161"/>
      <c r="B68" s="341" t="s">
        <v>316</v>
      </c>
      <c r="C68" s="342">
        <v>7600.9</v>
      </c>
      <c r="D68" s="343"/>
      <c r="E68" s="345">
        <f>SUM(C62:C68)</f>
        <v>50692.880000000005</v>
      </c>
      <c r="F68" s="673"/>
      <c r="G68" s="1163"/>
      <c r="H68" s="362">
        <f t="shared" si="18"/>
        <v>-0.20916716434681826</v>
      </c>
      <c r="I68" s="365">
        <f t="shared" ref="I68:I80" si="20">(E68-E55)/E55</f>
        <v>-0.22796940380053829</v>
      </c>
      <c r="J68" s="365" t="e">
        <f>(#REF!-#REF!)/#REF!</f>
        <v>#REF!</v>
      </c>
    </row>
    <row r="69" spans="1:15" ht="14.25" x14ac:dyDescent="0.65">
      <c r="A69" s="1161"/>
      <c r="B69" s="341" t="s">
        <v>319</v>
      </c>
      <c r="C69" s="342">
        <v>6408.64</v>
      </c>
      <c r="D69" s="343"/>
      <c r="E69" s="345">
        <f>SUM(C62:C69)</f>
        <v>57101.520000000004</v>
      </c>
      <c r="F69" s="673"/>
      <c r="G69" s="1163"/>
      <c r="H69" s="362">
        <f t="shared" si="18"/>
        <v>-0.28306488241335104</v>
      </c>
      <c r="I69" s="365">
        <f t="shared" si="20"/>
        <v>-0.23457115477082047</v>
      </c>
      <c r="J69" s="365" t="e">
        <f>(#REF!-#REF!)/#REF!</f>
        <v>#REF!</v>
      </c>
    </row>
    <row r="70" spans="1:15" ht="14.25" x14ac:dyDescent="0.65">
      <c r="A70" s="1161"/>
      <c r="B70" s="341" t="s">
        <v>321</v>
      </c>
      <c r="C70" s="342">
        <v>7314.64</v>
      </c>
      <c r="D70" s="343"/>
      <c r="E70" s="345">
        <f>SUM(C62:C70)</f>
        <v>64416.160000000003</v>
      </c>
      <c r="F70" s="673"/>
      <c r="G70" s="1163"/>
      <c r="H70" s="362">
        <f t="shared" si="18"/>
        <v>-0.18912183614466371</v>
      </c>
      <c r="I70" s="365">
        <f t="shared" si="20"/>
        <v>-0.22966831548840466</v>
      </c>
      <c r="J70" s="365" t="e">
        <f>(#REF!-#REF!)/#REF!</f>
        <v>#REF!</v>
      </c>
    </row>
    <row r="71" spans="1:15" ht="14.25" x14ac:dyDescent="0.65">
      <c r="A71" s="1161"/>
      <c r="B71" s="341" t="s">
        <v>323</v>
      </c>
      <c r="C71" s="342">
        <v>3364.7</v>
      </c>
      <c r="D71" s="343"/>
      <c r="E71" s="345">
        <f>SUM(C62:C71)</f>
        <v>67780.86</v>
      </c>
      <c r="F71" s="673"/>
      <c r="G71" s="1163"/>
      <c r="H71" s="362">
        <f t="shared" si="18"/>
        <v>-0.60946785395929282</v>
      </c>
      <c r="I71" s="365">
        <f t="shared" si="20"/>
        <v>-0.26514465288933375</v>
      </c>
      <c r="J71" s="365" t="e">
        <f>(#REF!-#REF!)/#REF!</f>
        <v>#REF!</v>
      </c>
    </row>
    <row r="72" spans="1:15" ht="14.25" x14ac:dyDescent="0.65">
      <c r="A72" s="1161"/>
      <c r="B72" s="341" t="s">
        <v>326</v>
      </c>
      <c r="C72" s="342">
        <v>3000</v>
      </c>
      <c r="D72" s="343"/>
      <c r="E72" s="345">
        <f>SUM(C62:C72)</f>
        <v>70780.86</v>
      </c>
      <c r="F72" s="673"/>
      <c r="G72" s="1163"/>
      <c r="H72" s="362">
        <f t="shared" si="18"/>
        <v>-0.59577340674088264</v>
      </c>
      <c r="I72" s="365">
        <f t="shared" si="20"/>
        <v>-0.28976659212216438</v>
      </c>
      <c r="J72" s="365" t="e">
        <f>(#REF!-#REF!)/#REF!</f>
        <v>#REF!</v>
      </c>
    </row>
    <row r="73" spans="1:15" ht="15" thickBot="1" x14ac:dyDescent="0.8">
      <c r="A73" s="1227"/>
      <c r="B73" s="349" t="s">
        <v>327</v>
      </c>
      <c r="C73" s="350">
        <v>3000</v>
      </c>
      <c r="D73" s="353"/>
      <c r="E73" s="345">
        <f>SUM(C62:C73)</f>
        <v>73780.86</v>
      </c>
      <c r="F73" s="673"/>
      <c r="G73" s="1163"/>
      <c r="H73" s="366">
        <f t="shared" si="18"/>
        <v>-0.59515262745944775</v>
      </c>
      <c r="I73" s="369">
        <f t="shared" si="20"/>
        <v>-0.31090227133415821</v>
      </c>
      <c r="J73" s="369" t="e">
        <f>(#REF!-#REF!)/#REF!</f>
        <v>#REF!</v>
      </c>
    </row>
    <row r="74" spans="1:15" ht="15" thickBot="1" x14ac:dyDescent="0.75">
      <c r="A74" s="354" t="s">
        <v>3</v>
      </c>
      <c r="B74" s="370"/>
      <c r="C74" s="356">
        <f>SUM(C62:C73)</f>
        <v>73780.86</v>
      </c>
      <c r="D74" s="667">
        <f>212060*0.42</f>
        <v>89065.2</v>
      </c>
      <c r="E74" s="357">
        <f>E68</f>
        <v>50692.880000000005</v>
      </c>
      <c r="F74" s="671"/>
      <c r="G74" s="1164"/>
      <c r="H74" s="371">
        <f t="shared" si="18"/>
        <v>-0.31090227133415821</v>
      </c>
      <c r="I74" s="373">
        <f t="shared" si="20"/>
        <v>-0.22796940380053829</v>
      </c>
      <c r="J74" s="373" t="e">
        <f>(#REF!-#REF!)/#REF!</f>
        <v>#REF!</v>
      </c>
    </row>
    <row r="75" spans="1:15" ht="14.25" customHeight="1" x14ac:dyDescent="0.65">
      <c r="A75" s="1161">
        <v>2021</v>
      </c>
      <c r="B75" s="333" t="s">
        <v>295</v>
      </c>
      <c r="C75" s="334">
        <v>8379.56</v>
      </c>
      <c r="D75" s="335"/>
      <c r="E75" s="337">
        <f>C75</f>
        <v>8379.56</v>
      </c>
      <c r="F75" s="672"/>
      <c r="G75" s="1165" t="str">
        <f>"Milli áranna "&amp; A62&amp;" og "&amp; A75</f>
        <v>Milli áranna 2020 og 2021</v>
      </c>
      <c r="H75" s="360">
        <f>(C75-C62)/C62</f>
        <v>0</v>
      </c>
      <c r="I75" s="361">
        <f t="shared" si="20"/>
        <v>0</v>
      </c>
      <c r="J75" s="361" t="e">
        <f>(#REF!-#REF!)/#REF!</f>
        <v>#REF!</v>
      </c>
    </row>
    <row r="76" spans="1:15" ht="14.25" x14ac:dyDescent="0.65">
      <c r="A76" s="1161"/>
      <c r="B76" s="341" t="s">
        <v>299</v>
      </c>
      <c r="C76" s="342">
        <v>6154.64</v>
      </c>
      <c r="D76" s="343"/>
      <c r="E76" s="345">
        <f>SUM(C75:C76)</f>
        <v>14534.2</v>
      </c>
      <c r="F76" s="673"/>
      <c r="G76" s="1163"/>
      <c r="H76" s="362">
        <f>(C76-C63)/C63</f>
        <v>0</v>
      </c>
      <c r="I76" s="365">
        <f t="shared" si="20"/>
        <v>0</v>
      </c>
      <c r="J76" s="365" t="e">
        <f>(#REF!-#REF!)/#REF!</f>
        <v>#REF!</v>
      </c>
    </row>
    <row r="77" spans="1:15" ht="14.25" x14ac:dyDescent="0.65">
      <c r="A77" s="1161"/>
      <c r="B77" s="341" t="s">
        <v>303</v>
      </c>
      <c r="C77" s="342">
        <v>7204.3</v>
      </c>
      <c r="D77" s="343"/>
      <c r="E77" s="345">
        <f>SUM(C75:C77)</f>
        <v>21738.5</v>
      </c>
      <c r="F77" s="673"/>
      <c r="G77" s="1163"/>
      <c r="H77" s="362">
        <f t="shared" ref="H77:H87" si="21">(C77-C64)/C64</f>
        <v>0</v>
      </c>
      <c r="I77" s="365">
        <f t="shared" si="20"/>
        <v>0</v>
      </c>
      <c r="J77" s="365" t="e">
        <f>(#REF!-#REF!)/#REF!</f>
        <v>#REF!</v>
      </c>
    </row>
    <row r="78" spans="1:15" ht="14.25" x14ac:dyDescent="0.65">
      <c r="A78" s="1161"/>
      <c r="B78" s="341" t="s">
        <v>306</v>
      </c>
      <c r="C78" s="342">
        <v>7158.26</v>
      </c>
      <c r="D78" s="343"/>
      <c r="E78" s="345">
        <f>SUM(C75:C78)</f>
        <v>28896.760000000002</v>
      </c>
      <c r="F78" s="673"/>
      <c r="G78" s="1163"/>
      <c r="H78" s="362">
        <f t="shared" si="21"/>
        <v>0</v>
      </c>
      <c r="I78" s="365">
        <f t="shared" si="20"/>
        <v>0</v>
      </c>
      <c r="J78" s="365" t="e">
        <f>(#REF!-#REF!)/#REF!</f>
        <v>#REF!</v>
      </c>
    </row>
    <row r="79" spans="1:15" ht="14.25" x14ac:dyDescent="0.65">
      <c r="A79" s="1161"/>
      <c r="B79" s="341" t="s">
        <v>310</v>
      </c>
      <c r="C79" s="342">
        <v>6950.12</v>
      </c>
      <c r="D79" s="343"/>
      <c r="E79" s="345">
        <f>SUM(C75:C79)</f>
        <v>35846.880000000005</v>
      </c>
      <c r="F79" s="673"/>
      <c r="G79" s="1163"/>
      <c r="H79" s="362">
        <f t="shared" si="21"/>
        <v>0</v>
      </c>
      <c r="I79" s="365">
        <f t="shared" si="20"/>
        <v>0</v>
      </c>
      <c r="J79" s="365" t="e">
        <f>(#REF!-#REF!)/#REF!</f>
        <v>#REF!</v>
      </c>
    </row>
    <row r="80" spans="1:15" ht="14.25" x14ac:dyDescent="0.65">
      <c r="A80" s="1161"/>
      <c r="B80" s="341" t="s">
        <v>314</v>
      </c>
      <c r="C80" s="342">
        <v>7245.1</v>
      </c>
      <c r="D80" s="343"/>
      <c r="E80" s="345">
        <f>SUM(C75:C80)</f>
        <v>43091.98</v>
      </c>
      <c r="F80" s="673"/>
      <c r="G80" s="1163"/>
      <c r="H80" s="362">
        <f t="shared" si="21"/>
        <v>0</v>
      </c>
      <c r="I80" s="365">
        <f t="shared" si="20"/>
        <v>0</v>
      </c>
      <c r="J80" s="365" t="e">
        <f>(#REF!-#REF!)/#REF!</f>
        <v>#REF!</v>
      </c>
      <c r="O80">
        <f>212060*0.42</f>
        <v>89065.2</v>
      </c>
    </row>
    <row r="81" spans="1:10" ht="14.25" x14ac:dyDescent="0.65">
      <c r="A81" s="1161"/>
      <c r="B81" s="341" t="s">
        <v>316</v>
      </c>
      <c r="C81" s="342">
        <v>7600.9</v>
      </c>
      <c r="D81" s="343"/>
      <c r="E81" s="345">
        <f>SUM(C75:C81)</f>
        <v>50692.880000000005</v>
      </c>
      <c r="F81" s="673"/>
      <c r="G81" s="1163"/>
      <c r="H81" s="362">
        <f t="shared" si="21"/>
        <v>0</v>
      </c>
      <c r="I81" s="365">
        <f t="shared" ref="I81:I93" si="22">(E81-E68)/E68</f>
        <v>0</v>
      </c>
      <c r="J81" s="365" t="e">
        <f>(#REF!-#REF!)/#REF!</f>
        <v>#REF!</v>
      </c>
    </row>
    <row r="82" spans="1:10" ht="14.25" x14ac:dyDescent="0.65">
      <c r="A82" s="1161"/>
      <c r="B82" s="341" t="s">
        <v>319</v>
      </c>
      <c r="C82" s="342">
        <v>6408.64</v>
      </c>
      <c r="D82" s="343"/>
      <c r="E82" s="345">
        <f>SUM(C75:C82)</f>
        <v>57101.520000000004</v>
      </c>
      <c r="F82" s="673"/>
      <c r="G82" s="1163"/>
      <c r="H82" s="362">
        <f t="shared" si="21"/>
        <v>0</v>
      </c>
      <c r="I82" s="365">
        <f t="shared" si="22"/>
        <v>0</v>
      </c>
      <c r="J82" s="365" t="e">
        <f>(#REF!-#REF!)/#REF!</f>
        <v>#REF!</v>
      </c>
    </row>
    <row r="83" spans="1:10" ht="14.25" x14ac:dyDescent="0.65">
      <c r="A83" s="1161"/>
      <c r="B83" s="341" t="s">
        <v>321</v>
      </c>
      <c r="C83" s="342">
        <v>7314.64</v>
      </c>
      <c r="D83" s="343"/>
      <c r="E83" s="345">
        <f>SUM(C75:C83)</f>
        <v>64416.160000000003</v>
      </c>
      <c r="F83" s="673"/>
      <c r="G83" s="1163"/>
      <c r="H83" s="362">
        <f t="shared" si="21"/>
        <v>0</v>
      </c>
      <c r="I83" s="365">
        <f t="shared" si="22"/>
        <v>0</v>
      </c>
      <c r="J83" s="365" t="e">
        <f>(#REF!-#REF!)/#REF!</f>
        <v>#REF!</v>
      </c>
    </row>
    <row r="84" spans="1:10" ht="14.25" x14ac:dyDescent="0.65">
      <c r="A84" s="1161"/>
      <c r="B84" s="341" t="s">
        <v>323</v>
      </c>
      <c r="C84" s="342">
        <v>3364.7</v>
      </c>
      <c r="D84" s="343"/>
      <c r="E84" s="345">
        <f>SUM(C75:C84)</f>
        <v>67780.86</v>
      </c>
      <c r="F84" s="673"/>
      <c r="G84" s="1163"/>
      <c r="H84" s="362">
        <f t="shared" si="21"/>
        <v>0</v>
      </c>
      <c r="I84" s="365">
        <f t="shared" si="22"/>
        <v>0</v>
      </c>
      <c r="J84" s="365" t="e">
        <f>(#REF!-#REF!)/#REF!</f>
        <v>#REF!</v>
      </c>
    </row>
    <row r="85" spans="1:10" ht="14.25" x14ac:dyDescent="0.65">
      <c r="A85" s="1161"/>
      <c r="B85" s="341" t="s">
        <v>326</v>
      </c>
      <c r="C85" s="342">
        <v>3000</v>
      </c>
      <c r="D85" s="343"/>
      <c r="E85" s="345">
        <f>SUM(C75:C85)</f>
        <v>70780.86</v>
      </c>
      <c r="F85" s="673"/>
      <c r="G85" s="1163"/>
      <c r="H85" s="362">
        <f t="shared" si="21"/>
        <v>0</v>
      </c>
      <c r="I85" s="365">
        <f t="shared" si="22"/>
        <v>0</v>
      </c>
      <c r="J85" s="365" t="e">
        <f>(#REF!-#REF!)/#REF!</f>
        <v>#REF!</v>
      </c>
    </row>
    <row r="86" spans="1:10" ht="15" thickBot="1" x14ac:dyDescent="0.8">
      <c r="A86" s="1227"/>
      <c r="B86" s="349" t="s">
        <v>327</v>
      </c>
      <c r="C86" s="350">
        <v>3000</v>
      </c>
      <c r="D86" s="353"/>
      <c r="E86" s="345">
        <f>SUM(C75:C86)</f>
        <v>73780.86</v>
      </c>
      <c r="F86" s="673"/>
      <c r="G86" s="1163"/>
      <c r="H86" s="366">
        <f t="shared" si="21"/>
        <v>0</v>
      </c>
      <c r="I86" s="369">
        <f t="shared" si="22"/>
        <v>0</v>
      </c>
      <c r="J86" s="369" t="e">
        <f>(#REF!-#REF!)/#REF!</f>
        <v>#REF!</v>
      </c>
    </row>
    <row r="87" spans="1:10" ht="15" thickBot="1" x14ac:dyDescent="0.75">
      <c r="A87" s="354" t="s">
        <v>3</v>
      </c>
      <c r="B87" s="370"/>
      <c r="C87" s="356">
        <f>SUM(C75:C86)</f>
        <v>73780.86</v>
      </c>
      <c r="D87" s="667">
        <f>198936*0.43</f>
        <v>85542.48</v>
      </c>
      <c r="E87" s="357">
        <f>E81</f>
        <v>50692.880000000005</v>
      </c>
      <c r="F87" s="671"/>
      <c r="G87" s="1164"/>
      <c r="H87" s="371">
        <f t="shared" si="21"/>
        <v>0</v>
      </c>
      <c r="I87" s="373">
        <f t="shared" si="22"/>
        <v>0</v>
      </c>
      <c r="J87" s="373" t="e">
        <f>(#REF!-#REF!)/#REF!</f>
        <v>#REF!</v>
      </c>
    </row>
    <row r="88" spans="1:10" ht="14.25" customHeight="1" x14ac:dyDescent="0.65">
      <c r="A88" s="1161">
        <v>2022</v>
      </c>
      <c r="B88" s="333" t="s">
        <v>295</v>
      </c>
      <c r="C88" s="334"/>
      <c r="D88" s="335"/>
      <c r="E88" s="337">
        <f>C88</f>
        <v>0</v>
      </c>
      <c r="F88" s="672"/>
      <c r="G88" s="1165" t="str">
        <f>"Milli áranna "&amp; A75&amp;" og "&amp; A88</f>
        <v>Milli áranna 2021 og 2022</v>
      </c>
      <c r="H88" s="360">
        <f t="shared" ref="H88" si="23">(C88-C75)/C75</f>
        <v>-1</v>
      </c>
      <c r="I88" s="361">
        <f t="shared" si="22"/>
        <v>-1</v>
      </c>
      <c r="J88" s="361" t="e">
        <f>(#REF!-#REF!)/#REF!</f>
        <v>#REF!</v>
      </c>
    </row>
    <row r="89" spans="1:10" ht="14.25" x14ac:dyDescent="0.65">
      <c r="A89" s="1161"/>
      <c r="B89" s="341" t="s">
        <v>299</v>
      </c>
      <c r="C89" s="342"/>
      <c r="D89" s="343"/>
      <c r="E89" s="345">
        <f>SUM(C88:C89)</f>
        <v>0</v>
      </c>
      <c r="F89" s="673"/>
      <c r="G89" s="1163"/>
      <c r="H89" s="362">
        <f>(C89-C76)/C76</f>
        <v>-1</v>
      </c>
      <c r="I89" s="365">
        <f t="shared" si="22"/>
        <v>-1</v>
      </c>
      <c r="J89" s="365" t="e">
        <f>(#REF!-#REF!)/#REF!</f>
        <v>#REF!</v>
      </c>
    </row>
    <row r="90" spans="1:10" ht="14.25" x14ac:dyDescent="0.65">
      <c r="A90" s="1161"/>
      <c r="B90" s="341" t="s">
        <v>303</v>
      </c>
      <c r="C90" s="342"/>
      <c r="D90" s="343"/>
      <c r="E90" s="345">
        <f>SUM(C88:C90)</f>
        <v>0</v>
      </c>
      <c r="F90" s="673"/>
      <c r="G90" s="1163"/>
      <c r="H90" s="362">
        <f t="shared" ref="H90:H100" si="24">(C90-C77)/C77</f>
        <v>-1</v>
      </c>
      <c r="I90" s="365">
        <f t="shared" si="22"/>
        <v>-1</v>
      </c>
      <c r="J90" s="365" t="e">
        <f>(#REF!-#REF!)/#REF!</f>
        <v>#REF!</v>
      </c>
    </row>
    <row r="91" spans="1:10" ht="14.25" x14ac:dyDescent="0.65">
      <c r="A91" s="1161"/>
      <c r="B91" s="341" t="s">
        <v>306</v>
      </c>
      <c r="C91" s="342"/>
      <c r="D91" s="343"/>
      <c r="E91" s="345">
        <f>SUM(C88:C91)</f>
        <v>0</v>
      </c>
      <c r="F91" s="673"/>
      <c r="G91" s="1163"/>
      <c r="H91" s="362">
        <f t="shared" si="24"/>
        <v>-1</v>
      </c>
      <c r="I91" s="365">
        <f t="shared" si="22"/>
        <v>-1</v>
      </c>
      <c r="J91" s="365" t="e">
        <f>(#REF!-#REF!)/#REF!</f>
        <v>#REF!</v>
      </c>
    </row>
    <row r="92" spans="1:10" ht="14.25" x14ac:dyDescent="0.65">
      <c r="A92" s="1161"/>
      <c r="B92" s="341" t="s">
        <v>310</v>
      </c>
      <c r="C92" s="342"/>
      <c r="D92" s="343"/>
      <c r="E92" s="345">
        <f>SUM(C88:C92)</f>
        <v>0</v>
      </c>
      <c r="F92" s="673"/>
      <c r="G92" s="1163"/>
      <c r="H92" s="362">
        <f t="shared" si="24"/>
        <v>-1</v>
      </c>
      <c r="I92" s="365">
        <f t="shared" si="22"/>
        <v>-1</v>
      </c>
      <c r="J92" s="365" t="e">
        <f>(#REF!-#REF!)/#REF!</f>
        <v>#REF!</v>
      </c>
    </row>
    <row r="93" spans="1:10" ht="14.25" x14ac:dyDescent="0.65">
      <c r="A93" s="1161"/>
      <c r="B93" s="341" t="s">
        <v>314</v>
      </c>
      <c r="C93" s="342"/>
      <c r="D93" s="343"/>
      <c r="E93" s="345">
        <f>SUM(C88:C93)</f>
        <v>0</v>
      </c>
      <c r="F93" s="673"/>
      <c r="G93" s="1163"/>
      <c r="H93" s="362">
        <f t="shared" si="24"/>
        <v>-1</v>
      </c>
      <c r="I93" s="365">
        <f t="shared" si="22"/>
        <v>-1</v>
      </c>
      <c r="J93" s="365" t="e">
        <f>(#REF!-#REF!)/#REF!</f>
        <v>#REF!</v>
      </c>
    </row>
    <row r="94" spans="1:10" ht="14.25" x14ac:dyDescent="0.65">
      <c r="A94" s="1161"/>
      <c r="B94" s="341" t="s">
        <v>316</v>
      </c>
      <c r="C94" s="342"/>
      <c r="D94" s="343"/>
      <c r="E94" s="345">
        <f>SUM(C88:C94)</f>
        <v>0</v>
      </c>
      <c r="F94" s="673"/>
      <c r="G94" s="1163"/>
      <c r="H94" s="362">
        <f t="shared" si="24"/>
        <v>-1</v>
      </c>
      <c r="I94" s="365">
        <f t="shared" ref="I94:I100" si="25">(E94-E81)/E81</f>
        <v>-1</v>
      </c>
      <c r="J94" s="365" t="e">
        <f>(#REF!-#REF!)/#REF!</f>
        <v>#REF!</v>
      </c>
    </row>
    <row r="95" spans="1:10" ht="14.25" x14ac:dyDescent="0.65">
      <c r="A95" s="1161"/>
      <c r="B95" s="341" t="s">
        <v>319</v>
      </c>
      <c r="C95" s="342"/>
      <c r="D95" s="343"/>
      <c r="E95" s="345">
        <f>SUM(C88:C95)</f>
        <v>0</v>
      </c>
      <c r="F95" s="673"/>
      <c r="G95" s="1163"/>
      <c r="H95" s="362">
        <f t="shared" si="24"/>
        <v>-1</v>
      </c>
      <c r="I95" s="365">
        <f t="shared" si="25"/>
        <v>-1</v>
      </c>
      <c r="J95" s="365" t="e">
        <f>(#REF!-#REF!)/#REF!</f>
        <v>#REF!</v>
      </c>
    </row>
    <row r="96" spans="1:10" ht="14.25" x14ac:dyDescent="0.65">
      <c r="A96" s="1161"/>
      <c r="B96" s="341" t="s">
        <v>321</v>
      </c>
      <c r="C96" s="342"/>
      <c r="D96" s="343"/>
      <c r="E96" s="345">
        <f>SUM(C88:C96)</f>
        <v>0</v>
      </c>
      <c r="F96" s="673"/>
      <c r="G96" s="1163"/>
      <c r="H96" s="362">
        <f t="shared" si="24"/>
        <v>-1</v>
      </c>
      <c r="I96" s="365">
        <f t="shared" si="25"/>
        <v>-1</v>
      </c>
      <c r="J96" s="365" t="e">
        <f>(#REF!-#REF!)/#REF!</f>
        <v>#REF!</v>
      </c>
    </row>
    <row r="97" spans="1:10" ht="14.25" x14ac:dyDescent="0.65">
      <c r="A97" s="1161"/>
      <c r="B97" s="341" t="s">
        <v>323</v>
      </c>
      <c r="C97" s="342"/>
      <c r="D97" s="343"/>
      <c r="E97" s="345">
        <f>SUM(C88:C97)</f>
        <v>0</v>
      </c>
      <c r="F97" s="673"/>
      <c r="G97" s="1163"/>
      <c r="H97" s="362">
        <f t="shared" si="24"/>
        <v>-1</v>
      </c>
      <c r="I97" s="365">
        <f t="shared" si="25"/>
        <v>-1</v>
      </c>
      <c r="J97" s="365" t="e">
        <f>(#REF!-#REF!)/#REF!</f>
        <v>#REF!</v>
      </c>
    </row>
    <row r="98" spans="1:10" ht="14.25" x14ac:dyDescent="0.65">
      <c r="A98" s="1161"/>
      <c r="B98" s="341" t="s">
        <v>326</v>
      </c>
      <c r="C98" s="342"/>
      <c r="D98" s="343"/>
      <c r="E98" s="345">
        <f>SUM(C88:C98)</f>
        <v>0</v>
      </c>
      <c r="F98" s="673"/>
      <c r="G98" s="1163"/>
      <c r="H98" s="362">
        <f t="shared" si="24"/>
        <v>-1</v>
      </c>
      <c r="I98" s="365">
        <f t="shared" si="25"/>
        <v>-1</v>
      </c>
      <c r="J98" s="365" t="e">
        <f>(#REF!-#REF!)/#REF!</f>
        <v>#REF!</v>
      </c>
    </row>
    <row r="99" spans="1:10" ht="15" thickBot="1" x14ac:dyDescent="0.8">
      <c r="A99" s="1227"/>
      <c r="B99" s="349" t="s">
        <v>327</v>
      </c>
      <c r="C99" s="350"/>
      <c r="D99" s="353"/>
      <c r="E99" s="345">
        <f>SUM(C88:C99)</f>
        <v>0</v>
      </c>
      <c r="F99" s="673"/>
      <c r="G99" s="1163"/>
      <c r="H99" s="366">
        <f t="shared" si="24"/>
        <v>-1</v>
      </c>
      <c r="I99" s="369">
        <f t="shared" si="25"/>
        <v>-1</v>
      </c>
      <c r="J99" s="369" t="e">
        <f>(#REF!-#REF!)/#REF!</f>
        <v>#REF!</v>
      </c>
    </row>
    <row r="100" spans="1:10" ht="15" thickBot="1" x14ac:dyDescent="0.75">
      <c r="A100" s="354" t="s">
        <v>3</v>
      </c>
      <c r="B100" s="370"/>
      <c r="C100" s="356">
        <f>SUM(C88:C99)</f>
        <v>0</v>
      </c>
      <c r="D100" s="667">
        <f>0.358*188505</f>
        <v>67484.789999999994</v>
      </c>
      <c r="E100" s="357">
        <f>E94</f>
        <v>0</v>
      </c>
      <c r="F100" s="671"/>
      <c r="G100" s="1164"/>
      <c r="H100" s="371">
        <f t="shared" si="24"/>
        <v>-1</v>
      </c>
      <c r="I100" s="373">
        <f t="shared" si="25"/>
        <v>-1</v>
      </c>
      <c r="J100" s="373" t="e">
        <f>(#REF!-#REF!)/#REF!</f>
        <v>#REF!</v>
      </c>
    </row>
  </sheetData>
  <mergeCells count="18">
    <mergeCell ref="A3:H3"/>
    <mergeCell ref="A4:B6"/>
    <mergeCell ref="C4:H4"/>
    <mergeCell ref="G5:J5"/>
    <mergeCell ref="A8:B8"/>
    <mergeCell ref="A88:A99"/>
    <mergeCell ref="G88:G100"/>
    <mergeCell ref="A75:A86"/>
    <mergeCell ref="G75:G87"/>
    <mergeCell ref="A10:A21"/>
    <mergeCell ref="A62:A73"/>
    <mergeCell ref="G62:G74"/>
    <mergeCell ref="A23:A34"/>
    <mergeCell ref="G23:G35"/>
    <mergeCell ref="A36:A47"/>
    <mergeCell ref="G36:G48"/>
    <mergeCell ref="A49:A60"/>
    <mergeCell ref="G49:G6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E7956-03D8-4AD7-B1E6-CB51F9618CD5}">
  <sheetPr>
    <tabColor rgb="FFFFC000"/>
  </sheetPr>
  <dimension ref="A1:DH97"/>
  <sheetViews>
    <sheetView showGridLines="0" topLeftCell="A70" workbookViewId="0">
      <selection activeCell="K87" sqref="K87"/>
    </sheetView>
    <sheetView showGridLines="0" workbookViewId="1"/>
  </sheetViews>
  <sheetFormatPr defaultColWidth="8.7265625" defaultRowHeight="14.25" x14ac:dyDescent="0.65"/>
  <cols>
    <col min="1" max="1" width="8.7265625" style="1005"/>
    <col min="2" max="2" width="12.1328125" style="1005" customWidth="1"/>
    <col min="3" max="3" width="11.40625" style="1005" bestFit="1" customWidth="1"/>
    <col min="4" max="4" width="12.40625" style="1005" bestFit="1" customWidth="1"/>
    <col min="5" max="5" width="9.1328125" style="1005" customWidth="1"/>
    <col min="6" max="8" width="11.40625" style="1005" bestFit="1" customWidth="1"/>
    <col min="9" max="9" width="12.40625" style="1005" bestFit="1" customWidth="1"/>
    <col min="10" max="10" width="11.40625" style="1005" bestFit="1" customWidth="1"/>
    <col min="11" max="12" width="12.40625" style="1005" customWidth="1"/>
    <col min="13" max="13" width="12.26953125" style="1005" customWidth="1"/>
    <col min="14" max="14" width="10.54296875" style="1005" customWidth="1"/>
    <col min="15" max="16" width="8.7265625" style="1005"/>
    <col min="17" max="17" width="19.40625" style="1005" customWidth="1"/>
    <col min="18" max="24" width="8.7265625" style="1005"/>
    <col min="25" max="25" width="12.26953125" style="1005" bestFit="1" customWidth="1"/>
    <col min="26" max="16384" width="8.7265625" style="1005"/>
  </cols>
  <sheetData>
    <row r="1" spans="1:47" s="1001" customFormat="1" ht="20.5" x14ac:dyDescent="0.9">
      <c r="A1" s="1000" t="s">
        <v>973</v>
      </c>
      <c r="C1" s="1002"/>
      <c r="E1" s="1003"/>
      <c r="G1" s="1002"/>
      <c r="H1" s="1002"/>
      <c r="I1" s="1002"/>
      <c r="J1" s="1002"/>
      <c r="K1" s="1002"/>
      <c r="L1" s="1002"/>
      <c r="M1" s="1002"/>
      <c r="N1" s="1002"/>
      <c r="O1" s="1002"/>
      <c r="P1" s="1002"/>
      <c r="Q1" s="1002"/>
      <c r="R1" s="1002"/>
      <c r="S1" s="1002"/>
      <c r="T1" s="1002"/>
      <c r="U1" s="1002"/>
      <c r="V1" s="1002"/>
      <c r="W1" s="1002"/>
      <c r="X1" s="1002"/>
      <c r="Y1" s="1002"/>
      <c r="Z1" s="1002"/>
      <c r="AA1" s="1002"/>
      <c r="AB1" s="1002"/>
      <c r="AC1" s="1002"/>
      <c r="AD1" s="1002"/>
      <c r="AE1" s="1002"/>
      <c r="AF1" s="1002"/>
      <c r="AG1" s="1002"/>
      <c r="AH1" s="1002"/>
      <c r="AI1" s="1002"/>
      <c r="AJ1" s="1002"/>
      <c r="AK1" s="1002"/>
      <c r="AL1" s="1002"/>
      <c r="AM1" s="1002"/>
      <c r="AN1" s="1002"/>
      <c r="AO1" s="1002"/>
      <c r="AP1" s="1002"/>
      <c r="AQ1" s="1002"/>
      <c r="AR1" s="1002"/>
      <c r="AS1" s="1002"/>
      <c r="AT1" s="1004"/>
      <c r="AU1" s="1002"/>
    </row>
    <row r="3" spans="1:47" ht="14.5" x14ac:dyDescent="0.7">
      <c r="B3" s="1006" t="s">
        <v>974</v>
      </c>
      <c r="C3" s="1263" t="s">
        <v>975</v>
      </c>
      <c r="D3" s="1263"/>
      <c r="E3" s="1263"/>
      <c r="F3" s="1263"/>
      <c r="G3" s="1263"/>
      <c r="H3" s="1263"/>
      <c r="I3" s="1263"/>
      <c r="J3" s="1263"/>
      <c r="K3" s="1263"/>
      <c r="L3" s="1007"/>
      <c r="M3" s="1008"/>
      <c r="N3" s="1006" t="s">
        <v>974</v>
      </c>
      <c r="O3" s="1263" t="s">
        <v>976</v>
      </c>
      <c r="P3" s="1263"/>
      <c r="Q3" s="1263"/>
      <c r="R3" s="1263"/>
      <c r="S3" s="1263"/>
      <c r="T3" s="1263"/>
      <c r="U3" s="1263"/>
      <c r="V3" s="1263"/>
      <c r="W3" s="1263"/>
      <c r="X3" s="1009"/>
      <c r="Y3" s="1006" t="s">
        <v>974</v>
      </c>
      <c r="Z3" s="1264" t="s">
        <v>975</v>
      </c>
      <c r="AA3" s="1265"/>
      <c r="AB3" s="1265"/>
      <c r="AC3" s="1265"/>
      <c r="AD3" s="1265"/>
      <c r="AE3" s="1265"/>
      <c r="AF3" s="1265"/>
      <c r="AG3" s="1265"/>
      <c r="AH3" s="1266"/>
    </row>
    <row r="4" spans="1:47" x14ac:dyDescent="0.65">
      <c r="B4" s="1006" t="s">
        <v>977</v>
      </c>
      <c r="C4" s="1248" t="s">
        <v>978</v>
      </c>
      <c r="D4" s="1248"/>
      <c r="E4" s="1248"/>
      <c r="F4" s="1248"/>
      <c r="G4" s="1248"/>
      <c r="H4" s="1248"/>
      <c r="I4" s="1248"/>
      <c r="J4" s="1248"/>
      <c r="K4" s="1248"/>
      <c r="L4" s="1009"/>
      <c r="M4" s="1008"/>
      <c r="N4" s="1006" t="s">
        <v>977</v>
      </c>
      <c r="O4" s="1248" t="s">
        <v>979</v>
      </c>
      <c r="P4" s="1248"/>
      <c r="Q4" s="1248"/>
      <c r="R4" s="1248"/>
      <c r="S4" s="1248"/>
      <c r="T4" s="1248"/>
      <c r="U4" s="1248"/>
      <c r="V4" s="1248"/>
      <c r="W4" s="1248"/>
      <c r="X4" s="1009"/>
      <c r="Y4" s="1006" t="s">
        <v>977</v>
      </c>
      <c r="Z4" s="1249" t="s">
        <v>978</v>
      </c>
      <c r="AA4" s="1250"/>
      <c r="AB4" s="1250"/>
      <c r="AC4" s="1250"/>
      <c r="AD4" s="1250"/>
      <c r="AE4" s="1250"/>
      <c r="AF4" s="1250"/>
      <c r="AG4" s="1250"/>
      <c r="AH4" s="1251"/>
    </row>
    <row r="5" spans="1:47" x14ac:dyDescent="0.65">
      <c r="B5" s="1006" t="s">
        <v>980</v>
      </c>
      <c r="C5" s="1255" t="s">
        <v>981</v>
      </c>
      <c r="D5" s="1255"/>
      <c r="E5" s="1255"/>
      <c r="F5" s="1255"/>
      <c r="G5" s="1255"/>
      <c r="H5" s="1255"/>
      <c r="I5" s="1255"/>
      <c r="J5" s="1255"/>
      <c r="K5" s="1255"/>
      <c r="L5" s="1010"/>
      <c r="M5" s="1008"/>
      <c r="N5" s="1006" t="s">
        <v>980</v>
      </c>
      <c r="O5" s="1255" t="str">
        <f>A13&amp;" - "&amp;MAX(A:A)</f>
        <v>1950 - 2023</v>
      </c>
      <c r="P5" s="1255"/>
      <c r="Q5" s="1255"/>
      <c r="R5" s="1255"/>
      <c r="S5" s="1255"/>
      <c r="T5" s="1255"/>
      <c r="U5" s="1255"/>
      <c r="V5" s="1255"/>
      <c r="W5" s="1255"/>
      <c r="X5" s="1009"/>
      <c r="Y5" s="1006" t="s">
        <v>980</v>
      </c>
      <c r="Z5" s="1256" t="s">
        <v>982</v>
      </c>
      <c r="AA5" s="1257"/>
      <c r="AB5" s="1257"/>
      <c r="AC5" s="1257"/>
      <c r="AD5" s="1257"/>
      <c r="AE5" s="1257"/>
      <c r="AF5" s="1257"/>
      <c r="AG5" s="1257"/>
      <c r="AH5" s="1258"/>
    </row>
    <row r="6" spans="1:47" ht="55.5" customHeight="1" x14ac:dyDescent="0.65">
      <c r="B6" s="1006" t="s">
        <v>983</v>
      </c>
      <c r="C6" s="1248" t="s">
        <v>984</v>
      </c>
      <c r="D6" s="1248"/>
      <c r="E6" s="1248"/>
      <c r="F6" s="1248"/>
      <c r="G6" s="1248"/>
      <c r="H6" s="1248"/>
      <c r="I6" s="1248"/>
      <c r="J6" s="1248"/>
      <c r="K6" s="1248"/>
      <c r="L6" s="1009"/>
      <c r="M6" s="1011"/>
      <c r="N6" s="1006" t="s">
        <v>983</v>
      </c>
      <c r="O6" s="1259"/>
      <c r="P6" s="1259"/>
      <c r="Q6" s="1259"/>
      <c r="R6" s="1259"/>
      <c r="S6" s="1259"/>
      <c r="T6" s="1259"/>
      <c r="U6" s="1259"/>
      <c r="V6" s="1259"/>
      <c r="W6" s="1259"/>
      <c r="X6" s="1012"/>
      <c r="Y6" s="1006" t="s">
        <v>983</v>
      </c>
      <c r="Z6" s="1260"/>
      <c r="AA6" s="1261"/>
      <c r="AB6" s="1261"/>
      <c r="AC6" s="1261"/>
      <c r="AD6" s="1261"/>
      <c r="AE6" s="1261"/>
      <c r="AF6" s="1261"/>
      <c r="AG6" s="1261"/>
      <c r="AH6" s="1262"/>
    </row>
    <row r="7" spans="1:47" x14ac:dyDescent="0.65">
      <c r="B7" s="1006" t="s">
        <v>985</v>
      </c>
      <c r="C7" s="1248" t="s">
        <v>986</v>
      </c>
      <c r="D7" s="1248"/>
      <c r="E7" s="1248"/>
      <c r="F7" s="1248"/>
      <c r="G7" s="1248"/>
      <c r="H7" s="1248"/>
      <c r="I7" s="1248"/>
      <c r="J7" s="1248"/>
      <c r="K7" s="1248"/>
      <c r="L7" s="1009"/>
      <c r="M7" s="1008"/>
      <c r="N7" s="1006" t="s">
        <v>985</v>
      </c>
      <c r="O7" s="1248" t="s">
        <v>987</v>
      </c>
      <c r="P7" s="1248"/>
      <c r="Q7" s="1248"/>
      <c r="R7" s="1248"/>
      <c r="S7" s="1248"/>
      <c r="T7" s="1248"/>
      <c r="U7" s="1248"/>
      <c r="V7" s="1248"/>
      <c r="W7" s="1248"/>
      <c r="X7" s="1009"/>
      <c r="Y7" s="1006" t="s">
        <v>985</v>
      </c>
      <c r="Z7" s="1249"/>
      <c r="AA7" s="1250"/>
      <c r="AB7" s="1250"/>
      <c r="AC7" s="1250"/>
      <c r="AD7" s="1250"/>
      <c r="AE7" s="1250"/>
      <c r="AF7" s="1250"/>
      <c r="AG7" s="1250"/>
      <c r="AH7" s="1251"/>
    </row>
    <row r="8" spans="1:47" x14ac:dyDescent="0.65">
      <c r="B8" s="1006" t="s">
        <v>988</v>
      </c>
      <c r="C8" s="1248" t="s">
        <v>989</v>
      </c>
      <c r="D8" s="1248"/>
      <c r="E8" s="1248"/>
      <c r="F8" s="1248"/>
      <c r="G8" s="1248"/>
      <c r="H8" s="1248"/>
      <c r="I8" s="1248"/>
      <c r="J8" s="1248"/>
      <c r="K8" s="1248"/>
      <c r="L8" s="1009"/>
      <c r="M8" s="1008"/>
      <c r="N8" s="1006"/>
      <c r="O8" s="1249" t="s">
        <v>990</v>
      </c>
      <c r="P8" s="1250"/>
      <c r="Q8" s="1250"/>
      <c r="R8" s="1250"/>
      <c r="S8" s="1250"/>
      <c r="T8" s="1250"/>
      <c r="U8" s="1250"/>
      <c r="V8" s="1250"/>
      <c r="W8" s="1254"/>
      <c r="X8" s="1009"/>
      <c r="Y8" s="1006"/>
      <c r="Z8" s="1249" t="s">
        <v>991</v>
      </c>
      <c r="AA8" s="1250"/>
      <c r="AB8" s="1250"/>
      <c r="AC8" s="1250"/>
      <c r="AD8" s="1250"/>
      <c r="AE8" s="1250"/>
      <c r="AF8" s="1250"/>
      <c r="AG8" s="1250"/>
      <c r="AH8" s="1251"/>
    </row>
    <row r="9" spans="1:47" x14ac:dyDescent="0.65">
      <c r="B9" s="1006" t="s">
        <v>992</v>
      </c>
      <c r="C9" s="1248" t="s">
        <v>993</v>
      </c>
      <c r="D9" s="1248"/>
      <c r="E9" s="1248"/>
      <c r="F9" s="1248"/>
      <c r="G9" s="1248"/>
      <c r="H9" s="1248"/>
      <c r="I9" s="1248"/>
      <c r="J9" s="1248"/>
      <c r="K9" s="1248"/>
      <c r="L9" s="1009"/>
      <c r="M9" s="1008"/>
      <c r="N9" s="1006" t="s">
        <v>992</v>
      </c>
      <c r="O9" s="1248" t="s">
        <v>993</v>
      </c>
      <c r="P9" s="1248"/>
      <c r="Q9" s="1248"/>
      <c r="R9" s="1248"/>
      <c r="S9" s="1248"/>
      <c r="T9" s="1248"/>
      <c r="U9" s="1248"/>
      <c r="V9" s="1248"/>
      <c r="W9" s="1248"/>
      <c r="X9" s="1009"/>
      <c r="Y9" s="1006" t="s">
        <v>992</v>
      </c>
      <c r="Z9" s="1249" t="s">
        <v>993</v>
      </c>
      <c r="AA9" s="1250"/>
      <c r="AB9" s="1250"/>
      <c r="AC9" s="1250"/>
      <c r="AD9" s="1250"/>
      <c r="AE9" s="1250"/>
      <c r="AF9" s="1250"/>
      <c r="AG9" s="1250"/>
      <c r="AH9" s="1251"/>
    </row>
    <row r="10" spans="1:47" x14ac:dyDescent="0.65">
      <c r="B10" s="1013"/>
      <c r="C10" s="1013"/>
      <c r="D10" s="1013"/>
      <c r="E10" s="1013"/>
      <c r="F10" s="1013"/>
      <c r="G10" s="1013"/>
      <c r="H10" s="1013"/>
      <c r="I10" s="1013"/>
      <c r="J10" s="1013"/>
      <c r="K10" s="1013"/>
      <c r="N10" s="1013"/>
      <c r="O10" s="1013"/>
      <c r="P10" s="1013"/>
      <c r="Q10" s="1013"/>
      <c r="R10" s="1013"/>
      <c r="S10" s="1013"/>
      <c r="T10" s="1013"/>
      <c r="U10" s="1013"/>
      <c r="V10" s="1013"/>
      <c r="W10" s="1013"/>
      <c r="Y10" s="1013"/>
    </row>
    <row r="11" spans="1:47" ht="14.5" x14ac:dyDescent="0.7">
      <c r="A11" s="1252" t="s">
        <v>994</v>
      </c>
      <c r="B11" s="1252"/>
      <c r="C11" s="1252"/>
      <c r="D11" s="1252"/>
      <c r="E11" s="1252"/>
      <c r="F11" s="1252"/>
      <c r="G11" s="1252"/>
      <c r="H11" s="1252"/>
      <c r="I11" s="1252"/>
      <c r="J11" s="1252"/>
      <c r="K11" s="1252"/>
      <c r="L11" s="1014"/>
      <c r="M11" s="1015"/>
      <c r="N11" s="1253"/>
      <c r="O11" s="1253"/>
      <c r="P11" s="1253"/>
      <c r="Q11" s="1253"/>
      <c r="R11" s="1253"/>
      <c r="S11" s="1253"/>
      <c r="T11" s="1253"/>
      <c r="U11" s="1253"/>
      <c r="V11" s="1253"/>
      <c r="W11" s="1253"/>
      <c r="X11" s="1015"/>
      <c r="Y11" s="1016" t="s">
        <v>995</v>
      </c>
      <c r="Z11" s="1017"/>
      <c r="AA11" s="1018"/>
      <c r="AB11" s="1018"/>
      <c r="AC11" s="1018"/>
      <c r="AD11" s="1018"/>
      <c r="AE11" s="1018"/>
      <c r="AF11" s="1018"/>
      <c r="AG11" s="1018"/>
      <c r="AH11" s="1018"/>
    </row>
    <row r="12" spans="1:47" x14ac:dyDescent="0.65">
      <c r="A12" s="1019"/>
      <c r="B12" s="1019" t="s">
        <v>996</v>
      </c>
      <c r="C12" s="1019" t="s">
        <v>997</v>
      </c>
      <c r="D12" s="1019" t="s">
        <v>998</v>
      </c>
      <c r="E12" s="1019" t="s">
        <v>999</v>
      </c>
      <c r="F12" s="1019" t="s">
        <v>1000</v>
      </c>
      <c r="G12" s="1019" t="s">
        <v>1001</v>
      </c>
      <c r="H12" s="1019" t="s">
        <v>1002</v>
      </c>
      <c r="I12" s="1019" t="s">
        <v>1003</v>
      </c>
      <c r="J12" s="1019" t="s">
        <v>1004</v>
      </c>
      <c r="K12" s="1019" t="s">
        <v>44</v>
      </c>
      <c r="L12" s="1019"/>
      <c r="M12" s="1020"/>
      <c r="N12" s="1019"/>
      <c r="O12" s="1019"/>
      <c r="P12" s="1019"/>
      <c r="Q12" s="1019"/>
      <c r="R12" s="1019"/>
      <c r="S12" s="1019"/>
      <c r="T12" s="1019"/>
      <c r="U12" s="1019"/>
      <c r="V12" s="1019"/>
      <c r="W12" s="1019"/>
      <c r="X12" s="1020"/>
      <c r="Y12" s="1019" t="s">
        <v>44</v>
      </c>
    </row>
    <row r="13" spans="1:47" x14ac:dyDescent="0.65">
      <c r="A13" s="1005">
        <v>1950</v>
      </c>
      <c r="B13" s="1021"/>
      <c r="C13" s="1022"/>
      <c r="D13" s="1022"/>
      <c r="E13" s="1022"/>
      <c r="F13" s="1022"/>
      <c r="G13" s="1022"/>
      <c r="H13" s="1022"/>
      <c r="I13" s="1022"/>
      <c r="J13" s="1022"/>
      <c r="K13" s="1023">
        <f t="shared" ref="K13:K52" si="0">SUM(B13:J13)</f>
        <v>0</v>
      </c>
      <c r="L13" s="1023"/>
      <c r="N13" s="1022"/>
      <c r="O13" s="1022"/>
      <c r="P13" s="1022"/>
      <c r="Q13" s="1022"/>
      <c r="R13" s="1022"/>
      <c r="S13" s="1022"/>
      <c r="T13" s="1022"/>
      <c r="U13" s="1022"/>
      <c r="V13" s="1022"/>
      <c r="W13" s="1023"/>
      <c r="Y13" s="1024" t="s">
        <v>579</v>
      </c>
    </row>
    <row r="14" spans="1:47" x14ac:dyDescent="0.65">
      <c r="A14" s="1005">
        <v>1951</v>
      </c>
      <c r="B14" s="1021"/>
      <c r="C14" s="1022"/>
      <c r="D14" s="1022"/>
      <c r="E14" s="1022"/>
      <c r="F14" s="1022"/>
      <c r="G14" s="1022"/>
      <c r="H14" s="1022"/>
      <c r="I14" s="1022"/>
      <c r="J14" s="1022"/>
      <c r="K14" s="1023">
        <f t="shared" si="0"/>
        <v>0</v>
      </c>
      <c r="L14" s="1023"/>
      <c r="N14" s="1022"/>
      <c r="O14" s="1022"/>
      <c r="P14" s="1022"/>
      <c r="Q14" s="1022"/>
      <c r="R14" s="1022"/>
      <c r="S14" s="1022"/>
      <c r="T14" s="1022"/>
      <c r="U14" s="1022"/>
      <c r="V14" s="1022"/>
      <c r="W14" s="1023"/>
      <c r="Y14" s="1024" t="s">
        <v>579</v>
      </c>
    </row>
    <row r="15" spans="1:47" x14ac:dyDescent="0.65">
      <c r="A15" s="1005">
        <v>1952</v>
      </c>
      <c r="B15" s="1021"/>
      <c r="C15" s="1022"/>
      <c r="D15" s="1022"/>
      <c r="E15" s="1022"/>
      <c r="F15" s="1022"/>
      <c r="G15" s="1022"/>
      <c r="H15" s="1022"/>
      <c r="I15" s="1022"/>
      <c r="J15" s="1022"/>
      <c r="K15" s="1023">
        <f t="shared" si="0"/>
        <v>0</v>
      </c>
      <c r="L15" s="1023"/>
      <c r="N15" s="1022"/>
      <c r="O15" s="1022"/>
      <c r="P15" s="1022"/>
      <c r="Q15" s="1022"/>
      <c r="R15" s="1022"/>
      <c r="S15" s="1022"/>
      <c r="T15" s="1022"/>
      <c r="U15" s="1022"/>
      <c r="V15" s="1022"/>
      <c r="W15" s="1023"/>
      <c r="Y15" s="1024" t="s">
        <v>579</v>
      </c>
    </row>
    <row r="16" spans="1:47" x14ac:dyDescent="0.65">
      <c r="A16" s="1005">
        <v>1953</v>
      </c>
      <c r="B16" s="1021"/>
      <c r="C16" s="1022"/>
      <c r="D16" s="1022"/>
      <c r="E16" s="1022"/>
      <c r="F16" s="1022"/>
      <c r="G16" s="1022"/>
      <c r="H16" s="1022"/>
      <c r="I16" s="1022"/>
      <c r="J16" s="1022"/>
      <c r="K16" s="1023">
        <f t="shared" si="0"/>
        <v>0</v>
      </c>
      <c r="L16" s="1023"/>
      <c r="N16" s="1022"/>
      <c r="O16" s="1022"/>
      <c r="P16" s="1022"/>
      <c r="Q16" s="1022"/>
      <c r="R16" s="1022"/>
      <c r="S16" s="1022"/>
      <c r="T16" s="1022"/>
      <c r="U16" s="1022"/>
      <c r="V16" s="1022"/>
      <c r="W16" s="1023"/>
      <c r="Y16" s="1024" t="s">
        <v>579</v>
      </c>
    </row>
    <row r="17" spans="1:38" x14ac:dyDescent="0.65">
      <c r="A17" s="1005">
        <v>1954</v>
      </c>
      <c r="B17" s="1021"/>
      <c r="C17" s="1022"/>
      <c r="D17" s="1022"/>
      <c r="E17" s="1022"/>
      <c r="F17" s="1022"/>
      <c r="G17" s="1022"/>
      <c r="H17" s="1022"/>
      <c r="I17" s="1022"/>
      <c r="J17" s="1022"/>
      <c r="K17" s="1023">
        <f t="shared" si="0"/>
        <v>0</v>
      </c>
      <c r="L17" s="1023"/>
      <c r="N17" s="1022"/>
      <c r="O17" s="1022"/>
      <c r="P17" s="1022"/>
      <c r="Q17" s="1022"/>
      <c r="R17" s="1022"/>
      <c r="S17" s="1022"/>
      <c r="T17" s="1022"/>
      <c r="U17" s="1022"/>
      <c r="V17" s="1022"/>
      <c r="W17" s="1023"/>
      <c r="Y17" s="1024" t="s">
        <v>579</v>
      </c>
    </row>
    <row r="18" spans="1:38" x14ac:dyDescent="0.65">
      <c r="A18" s="1005">
        <v>1955</v>
      </c>
      <c r="B18" s="1021"/>
      <c r="C18" s="1022"/>
      <c r="D18" s="1022"/>
      <c r="E18" s="1022"/>
      <c r="F18" s="1022"/>
      <c r="G18" s="1022"/>
      <c r="H18" s="1022"/>
      <c r="I18" s="1022"/>
      <c r="J18" s="1022"/>
      <c r="K18" s="1023">
        <f t="shared" si="0"/>
        <v>0</v>
      </c>
      <c r="L18" s="1023"/>
      <c r="N18" s="1022"/>
      <c r="O18" s="1022"/>
      <c r="P18" s="1022"/>
      <c r="Q18" s="1022"/>
      <c r="R18" s="1022"/>
      <c r="S18" s="1022"/>
      <c r="T18" s="1022"/>
      <c r="U18" s="1022"/>
      <c r="V18" s="1022"/>
      <c r="W18" s="1023"/>
      <c r="Y18" s="1024" t="s">
        <v>579</v>
      </c>
    </row>
    <row r="19" spans="1:38" ht="14.5" x14ac:dyDescent="0.7">
      <c r="A19" s="1005">
        <v>1956</v>
      </c>
      <c r="B19" s="1021"/>
      <c r="C19" s="1022"/>
      <c r="D19" s="1022"/>
      <c r="E19" s="1022"/>
      <c r="F19" s="1022"/>
      <c r="G19" s="1022"/>
      <c r="H19" s="1022"/>
      <c r="I19" s="1022"/>
      <c r="J19" s="1022"/>
      <c r="K19" s="1023">
        <f t="shared" si="0"/>
        <v>0</v>
      </c>
      <c r="L19" s="1023"/>
      <c r="N19" s="1022"/>
      <c r="O19" s="1022"/>
      <c r="P19" s="1022"/>
      <c r="Q19" s="1022"/>
      <c r="R19" s="1022"/>
      <c r="S19" s="1022"/>
      <c r="T19" s="1022"/>
      <c r="U19" s="1022"/>
      <c r="V19" s="1022"/>
      <c r="W19" s="1023"/>
      <c r="Y19" s="1024" t="s">
        <v>579</v>
      </c>
      <c r="AA19" s="1025"/>
    </row>
    <row r="20" spans="1:38" ht="14.5" x14ac:dyDescent="0.7">
      <c r="A20" s="1005">
        <v>1957</v>
      </c>
      <c r="B20" s="1021"/>
      <c r="C20" s="1022"/>
      <c r="D20" s="1022"/>
      <c r="E20" s="1022"/>
      <c r="F20" s="1022"/>
      <c r="G20" s="1022"/>
      <c r="H20" s="1022"/>
      <c r="I20" s="1022"/>
      <c r="J20" s="1022"/>
      <c r="K20" s="1023">
        <f t="shared" si="0"/>
        <v>0</v>
      </c>
      <c r="L20" s="1023"/>
      <c r="N20" s="1022"/>
      <c r="O20" s="1022"/>
      <c r="P20" s="1022"/>
      <c r="Q20" s="1022"/>
      <c r="R20" s="1022"/>
      <c r="S20" s="1022"/>
      <c r="T20" s="1022"/>
      <c r="U20" s="1022"/>
      <c r="V20" s="1022"/>
      <c r="W20" s="1023"/>
      <c r="Y20" s="1024" t="s">
        <v>579</v>
      </c>
      <c r="AB20" s="1025"/>
      <c r="AL20" s="1025"/>
    </row>
    <row r="21" spans="1:38" x14ac:dyDescent="0.65">
      <c r="A21" s="1005">
        <v>1958</v>
      </c>
      <c r="B21" s="1021"/>
      <c r="C21" s="1022"/>
      <c r="D21" s="1022"/>
      <c r="E21" s="1022"/>
      <c r="F21" s="1022"/>
      <c r="G21" s="1022"/>
      <c r="H21" s="1022"/>
      <c r="I21" s="1022"/>
      <c r="J21" s="1022"/>
      <c r="K21" s="1023">
        <f t="shared" si="0"/>
        <v>0</v>
      </c>
      <c r="L21" s="1023"/>
      <c r="N21" s="1022"/>
      <c r="O21" s="1022"/>
      <c r="P21" s="1022"/>
      <c r="Q21" s="1022"/>
      <c r="R21" s="1022"/>
      <c r="S21" s="1022"/>
      <c r="T21" s="1022"/>
      <c r="U21" s="1022"/>
      <c r="V21" s="1022"/>
      <c r="W21" s="1023"/>
      <c r="Y21" s="1024" t="s">
        <v>579</v>
      </c>
    </row>
    <row r="22" spans="1:38" x14ac:dyDescent="0.65">
      <c r="A22" s="1005">
        <v>1959</v>
      </c>
      <c r="B22" s="1021"/>
      <c r="C22" s="1022"/>
      <c r="D22" s="1022"/>
      <c r="E22" s="1022"/>
      <c r="F22" s="1022"/>
      <c r="G22" s="1022"/>
      <c r="H22" s="1022"/>
      <c r="I22" s="1022"/>
      <c r="J22" s="1022"/>
      <c r="K22" s="1023">
        <f t="shared" si="0"/>
        <v>0</v>
      </c>
      <c r="L22" s="1023"/>
      <c r="N22" s="1022"/>
      <c r="O22" s="1022"/>
      <c r="P22" s="1022"/>
      <c r="Q22" s="1022"/>
      <c r="R22" s="1022"/>
      <c r="S22" s="1022"/>
      <c r="T22" s="1022"/>
      <c r="U22" s="1022"/>
      <c r="V22" s="1022"/>
      <c r="W22" s="1023"/>
      <c r="Y22" s="1024" t="s">
        <v>579</v>
      </c>
    </row>
    <row r="23" spans="1:38" x14ac:dyDescent="0.65">
      <c r="A23" s="1005">
        <v>1960</v>
      </c>
      <c r="B23" s="1021"/>
      <c r="C23" s="1022"/>
      <c r="D23" s="1022"/>
      <c r="E23" s="1022"/>
      <c r="F23" s="1022"/>
      <c r="G23" s="1022"/>
      <c r="H23" s="1022"/>
      <c r="I23" s="1022"/>
      <c r="J23" s="1022"/>
      <c r="K23" s="1023">
        <f t="shared" si="0"/>
        <v>0</v>
      </c>
      <c r="L23" s="1023"/>
      <c r="N23" s="1022"/>
      <c r="O23" s="1022"/>
      <c r="P23" s="1022"/>
      <c r="Q23" s="1022"/>
      <c r="R23" s="1022"/>
      <c r="S23" s="1022"/>
      <c r="T23" s="1022"/>
      <c r="U23" s="1022"/>
      <c r="V23" s="1022"/>
      <c r="W23" s="1023"/>
      <c r="Y23" s="1024" t="s">
        <v>579</v>
      </c>
    </row>
    <row r="24" spans="1:38" x14ac:dyDescent="0.65">
      <c r="A24" s="1005">
        <v>1961</v>
      </c>
      <c r="B24" s="1021"/>
      <c r="C24" s="1022"/>
      <c r="D24" s="1022"/>
      <c r="E24" s="1022"/>
      <c r="F24" s="1022"/>
      <c r="G24" s="1022"/>
      <c r="H24" s="1022"/>
      <c r="I24" s="1022"/>
      <c r="J24" s="1022"/>
      <c r="K24" s="1023">
        <f t="shared" si="0"/>
        <v>0</v>
      </c>
      <c r="L24" s="1023"/>
      <c r="N24" s="1022"/>
      <c r="O24" s="1022"/>
      <c r="P24" s="1022"/>
      <c r="Q24" s="1022"/>
      <c r="R24" s="1022"/>
      <c r="S24" s="1022"/>
      <c r="T24" s="1022"/>
      <c r="U24" s="1022"/>
      <c r="V24" s="1022"/>
      <c r="W24" s="1023"/>
      <c r="Y24" s="1024" t="s">
        <v>579</v>
      </c>
    </row>
    <row r="25" spans="1:38" x14ac:dyDescent="0.65">
      <c r="A25" s="1005">
        <v>1962</v>
      </c>
      <c r="B25" s="1021"/>
      <c r="C25" s="1022"/>
      <c r="D25" s="1022"/>
      <c r="E25" s="1022"/>
      <c r="F25" s="1022"/>
      <c r="G25" s="1022"/>
      <c r="H25" s="1022"/>
      <c r="I25" s="1022"/>
      <c r="J25" s="1022"/>
      <c r="K25" s="1023">
        <f t="shared" si="0"/>
        <v>0</v>
      </c>
      <c r="L25" s="1023"/>
      <c r="N25" s="1022"/>
      <c r="O25" s="1022"/>
      <c r="P25" s="1022"/>
      <c r="Q25" s="1022"/>
      <c r="R25" s="1022"/>
      <c r="S25" s="1022"/>
      <c r="T25" s="1022"/>
      <c r="U25" s="1022"/>
      <c r="V25" s="1022"/>
      <c r="W25" s="1023"/>
      <c r="Y25" s="1024" t="s">
        <v>579</v>
      </c>
    </row>
    <row r="26" spans="1:38" x14ac:dyDescent="0.65">
      <c r="A26" s="1005">
        <v>1963</v>
      </c>
      <c r="B26" s="1021"/>
      <c r="C26" s="1022"/>
      <c r="D26" s="1022"/>
      <c r="E26" s="1022"/>
      <c r="F26" s="1022"/>
      <c r="G26" s="1022"/>
      <c r="H26" s="1022"/>
      <c r="I26" s="1022"/>
      <c r="J26" s="1022"/>
      <c r="K26" s="1023">
        <f t="shared" si="0"/>
        <v>0</v>
      </c>
      <c r="L26" s="1023"/>
      <c r="N26" s="1022"/>
      <c r="O26" s="1022"/>
      <c r="P26" s="1022"/>
      <c r="Q26" s="1022"/>
      <c r="R26" s="1022"/>
      <c r="S26" s="1022"/>
      <c r="T26" s="1022"/>
      <c r="U26" s="1022"/>
      <c r="V26" s="1022"/>
      <c r="W26" s="1023"/>
      <c r="Y26" s="1024" t="s">
        <v>579</v>
      </c>
    </row>
    <row r="27" spans="1:38" x14ac:dyDescent="0.65">
      <c r="A27" s="1005">
        <v>1964</v>
      </c>
      <c r="B27" s="1021"/>
      <c r="C27" s="1022"/>
      <c r="D27" s="1022"/>
      <c r="E27" s="1022"/>
      <c r="F27" s="1022"/>
      <c r="G27" s="1022"/>
      <c r="H27" s="1022"/>
      <c r="I27" s="1022"/>
      <c r="J27" s="1022"/>
      <c r="K27" s="1023">
        <f t="shared" si="0"/>
        <v>0</v>
      </c>
      <c r="L27" s="1023"/>
      <c r="N27" s="1022"/>
      <c r="O27" s="1022"/>
      <c r="P27" s="1022"/>
      <c r="Q27" s="1022"/>
      <c r="R27" s="1022"/>
      <c r="S27" s="1022"/>
      <c r="T27" s="1022"/>
      <c r="U27" s="1022"/>
      <c r="V27" s="1022"/>
      <c r="W27" s="1023"/>
      <c r="Y27" s="1024" t="s">
        <v>579</v>
      </c>
    </row>
    <row r="28" spans="1:38" x14ac:dyDescent="0.65">
      <c r="A28" s="1005">
        <v>1965</v>
      </c>
      <c r="B28" s="1021"/>
      <c r="C28" s="1022"/>
      <c r="D28" s="1022"/>
      <c r="E28" s="1022"/>
      <c r="F28" s="1022"/>
      <c r="G28" s="1022"/>
      <c r="H28" s="1022"/>
      <c r="I28" s="1022"/>
      <c r="J28" s="1022"/>
      <c r="K28" s="1023">
        <f t="shared" si="0"/>
        <v>0</v>
      </c>
      <c r="L28" s="1023"/>
      <c r="N28" s="1022"/>
      <c r="O28" s="1022"/>
      <c r="P28" s="1022"/>
      <c r="Q28" s="1022"/>
      <c r="R28" s="1022"/>
      <c r="S28" s="1022"/>
      <c r="T28" s="1022"/>
      <c r="U28" s="1022"/>
      <c r="V28" s="1022"/>
      <c r="W28" s="1023"/>
      <c r="Y28" s="1024" t="s">
        <v>579</v>
      </c>
    </row>
    <row r="29" spans="1:38" x14ac:dyDescent="0.65">
      <c r="A29" s="1005">
        <v>1966</v>
      </c>
      <c r="B29" s="1021"/>
      <c r="C29" s="1022"/>
      <c r="D29" s="1022"/>
      <c r="E29" s="1022"/>
      <c r="F29" s="1022"/>
      <c r="G29" s="1022"/>
      <c r="H29" s="1022"/>
      <c r="I29" s="1022"/>
      <c r="J29" s="1022"/>
      <c r="K29" s="1023">
        <f t="shared" si="0"/>
        <v>0</v>
      </c>
      <c r="L29" s="1023"/>
      <c r="N29" s="1022"/>
      <c r="O29" s="1022"/>
      <c r="P29" s="1022"/>
      <c r="Q29" s="1022"/>
      <c r="R29" s="1022"/>
      <c r="S29" s="1022"/>
      <c r="T29" s="1022"/>
      <c r="U29" s="1022"/>
      <c r="V29" s="1022"/>
      <c r="W29" s="1023"/>
      <c r="Y29" s="1024" t="s">
        <v>579</v>
      </c>
    </row>
    <row r="30" spans="1:38" x14ac:dyDescent="0.65">
      <c r="A30" s="1005">
        <v>1967</v>
      </c>
      <c r="B30" s="1021"/>
      <c r="C30" s="1022"/>
      <c r="D30" s="1022"/>
      <c r="E30" s="1022"/>
      <c r="F30" s="1022"/>
      <c r="G30" s="1022"/>
      <c r="H30" s="1022"/>
      <c r="I30" s="1022"/>
      <c r="J30" s="1022"/>
      <c r="K30" s="1023">
        <f t="shared" si="0"/>
        <v>0</v>
      </c>
      <c r="L30" s="1023"/>
      <c r="N30" s="1022"/>
      <c r="O30" s="1022"/>
      <c r="P30" s="1022"/>
      <c r="Q30" s="1022"/>
      <c r="R30" s="1022"/>
      <c r="S30" s="1022"/>
      <c r="T30" s="1022"/>
      <c r="U30" s="1022"/>
      <c r="V30" s="1022"/>
      <c r="W30" s="1023"/>
      <c r="Y30" s="1024" t="s">
        <v>579</v>
      </c>
    </row>
    <row r="31" spans="1:38" x14ac:dyDescent="0.65">
      <c r="A31" s="1005">
        <v>1968</v>
      </c>
      <c r="B31" s="1021"/>
      <c r="C31" s="1022"/>
      <c r="D31" s="1022"/>
      <c r="E31" s="1022"/>
      <c r="F31" s="1022"/>
      <c r="G31" s="1022"/>
      <c r="H31" s="1022"/>
      <c r="I31" s="1022"/>
      <c r="J31" s="1022"/>
      <c r="K31" s="1023">
        <f t="shared" si="0"/>
        <v>0</v>
      </c>
      <c r="L31" s="1023"/>
      <c r="N31" s="1022"/>
      <c r="O31" s="1022"/>
      <c r="P31" s="1022"/>
      <c r="Q31" s="1022"/>
      <c r="R31" s="1022"/>
      <c r="S31" s="1022"/>
      <c r="T31" s="1022"/>
      <c r="U31" s="1022"/>
      <c r="V31" s="1022"/>
      <c r="W31" s="1023"/>
      <c r="Y31" s="1024" t="s">
        <v>579</v>
      </c>
    </row>
    <row r="32" spans="1:38" x14ac:dyDescent="0.65">
      <c r="A32" s="1005">
        <v>1969</v>
      </c>
      <c r="B32" s="1021"/>
      <c r="C32" s="1022"/>
      <c r="D32" s="1022"/>
      <c r="E32" s="1022"/>
      <c r="F32" s="1022"/>
      <c r="G32" s="1022"/>
      <c r="H32" s="1022"/>
      <c r="I32" s="1022"/>
      <c r="J32" s="1022"/>
      <c r="K32" s="1023">
        <f t="shared" si="0"/>
        <v>0</v>
      </c>
      <c r="L32" s="1023"/>
      <c r="N32" s="1022"/>
      <c r="O32" s="1022"/>
      <c r="P32" s="1022"/>
      <c r="Q32" s="1022"/>
      <c r="R32" s="1022"/>
      <c r="S32" s="1022"/>
      <c r="T32" s="1022"/>
      <c r="U32" s="1022"/>
      <c r="V32" s="1022"/>
      <c r="W32" s="1023"/>
      <c r="Y32" s="1024" t="s">
        <v>579</v>
      </c>
    </row>
    <row r="33" spans="1:25" x14ac:dyDescent="0.65">
      <c r="A33" s="1005">
        <v>1970</v>
      </c>
      <c r="B33" s="1021"/>
      <c r="C33" s="1022"/>
      <c r="D33" s="1022"/>
      <c r="E33" s="1022"/>
      <c r="F33" s="1022"/>
      <c r="G33" s="1022"/>
      <c r="H33" s="1022"/>
      <c r="I33" s="1022"/>
      <c r="J33" s="1022"/>
      <c r="K33" s="1023">
        <f t="shared" si="0"/>
        <v>0</v>
      </c>
      <c r="L33" s="1023"/>
      <c r="N33" s="1022"/>
      <c r="O33" s="1022"/>
      <c r="P33" s="1022"/>
      <c r="Q33" s="1022"/>
      <c r="R33" s="1022"/>
      <c r="S33" s="1022"/>
      <c r="T33" s="1022"/>
      <c r="U33" s="1022"/>
      <c r="V33" s="1022"/>
      <c r="W33" s="1023"/>
      <c r="Y33" s="1024" t="s">
        <v>579</v>
      </c>
    </row>
    <row r="34" spans="1:25" x14ac:dyDescent="0.65">
      <c r="A34" s="1005">
        <v>1971</v>
      </c>
      <c r="B34" s="1021"/>
      <c r="C34" s="1022"/>
      <c r="D34" s="1022"/>
      <c r="E34" s="1022"/>
      <c r="F34" s="1022"/>
      <c r="G34" s="1022"/>
      <c r="H34" s="1022"/>
      <c r="I34" s="1022"/>
      <c r="J34" s="1022"/>
      <c r="K34" s="1023">
        <f t="shared" si="0"/>
        <v>0</v>
      </c>
      <c r="L34" s="1023"/>
      <c r="N34" s="1022"/>
      <c r="O34" s="1022"/>
      <c r="P34" s="1022"/>
      <c r="Q34" s="1022"/>
      <c r="R34" s="1022"/>
      <c r="S34" s="1022"/>
      <c r="T34" s="1022"/>
      <c r="U34" s="1022"/>
      <c r="V34" s="1022"/>
      <c r="W34" s="1023"/>
      <c r="Y34" s="1024" t="s">
        <v>579</v>
      </c>
    </row>
    <row r="35" spans="1:25" x14ac:dyDescent="0.65">
      <c r="A35" s="1005">
        <v>1972</v>
      </c>
      <c r="B35" s="1021"/>
      <c r="C35" s="1022"/>
      <c r="D35" s="1022"/>
      <c r="E35" s="1022"/>
      <c r="F35" s="1022"/>
      <c r="G35" s="1022"/>
      <c r="H35" s="1022"/>
      <c r="I35" s="1022"/>
      <c r="J35" s="1022"/>
      <c r="K35" s="1023">
        <f t="shared" si="0"/>
        <v>0</v>
      </c>
      <c r="L35" s="1023"/>
      <c r="N35" s="1022"/>
      <c r="O35" s="1022"/>
      <c r="P35" s="1022"/>
      <c r="Q35" s="1022"/>
      <c r="R35" s="1022"/>
      <c r="S35" s="1022"/>
      <c r="T35" s="1022"/>
      <c r="U35" s="1022"/>
      <c r="V35" s="1022"/>
      <c r="W35" s="1023"/>
      <c r="Y35" s="1024" t="s">
        <v>579</v>
      </c>
    </row>
    <row r="36" spans="1:25" x14ac:dyDescent="0.65">
      <c r="A36" s="1005">
        <v>1973</v>
      </c>
      <c r="B36" s="1021"/>
      <c r="C36" s="1022"/>
      <c r="D36" s="1022"/>
      <c r="E36" s="1022"/>
      <c r="F36" s="1022"/>
      <c r="G36" s="1022"/>
      <c r="H36" s="1022"/>
      <c r="I36" s="1022"/>
      <c r="J36" s="1022"/>
      <c r="K36" s="1023">
        <f t="shared" si="0"/>
        <v>0</v>
      </c>
      <c r="L36" s="1023"/>
      <c r="N36" s="1022"/>
      <c r="O36" s="1022"/>
      <c r="P36" s="1022"/>
      <c r="Q36" s="1022"/>
      <c r="R36" s="1022"/>
      <c r="S36" s="1022"/>
      <c r="T36" s="1022"/>
      <c r="U36" s="1022"/>
      <c r="V36" s="1022"/>
      <c r="W36" s="1023"/>
      <c r="Y36" s="1024" t="s">
        <v>579</v>
      </c>
    </row>
    <row r="37" spans="1:25" x14ac:dyDescent="0.65">
      <c r="A37" s="1005">
        <v>1974</v>
      </c>
      <c r="B37" s="1021"/>
      <c r="C37" s="1022"/>
      <c r="D37" s="1022"/>
      <c r="E37" s="1022"/>
      <c r="F37" s="1022"/>
      <c r="G37" s="1022"/>
      <c r="H37" s="1022"/>
      <c r="I37" s="1022"/>
      <c r="J37" s="1022"/>
      <c r="K37" s="1023">
        <f t="shared" si="0"/>
        <v>0</v>
      </c>
      <c r="L37" s="1023"/>
      <c r="N37" s="1022"/>
      <c r="O37" s="1022"/>
      <c r="P37" s="1022"/>
      <c r="Q37" s="1022"/>
      <c r="R37" s="1022"/>
      <c r="S37" s="1022"/>
      <c r="T37" s="1022"/>
      <c r="U37" s="1022"/>
      <c r="V37" s="1022"/>
      <c r="W37" s="1023"/>
      <c r="Y37" s="1024" t="s">
        <v>579</v>
      </c>
    </row>
    <row r="38" spans="1:25" x14ac:dyDescent="0.65">
      <c r="A38" s="1005">
        <v>1975</v>
      </c>
      <c r="B38" s="1021"/>
      <c r="C38" s="1022"/>
      <c r="D38" s="1022"/>
      <c r="E38" s="1022"/>
      <c r="F38" s="1022"/>
      <c r="G38" s="1022"/>
      <c r="H38" s="1022"/>
      <c r="I38" s="1022"/>
      <c r="J38" s="1022"/>
      <c r="K38" s="1023">
        <f t="shared" si="0"/>
        <v>0</v>
      </c>
      <c r="L38" s="1023"/>
      <c r="N38" s="1022"/>
      <c r="O38" s="1022"/>
      <c r="P38" s="1022"/>
      <c r="Q38" s="1022"/>
      <c r="R38" s="1022"/>
      <c r="S38" s="1022"/>
      <c r="T38" s="1022"/>
      <c r="U38" s="1022"/>
      <c r="V38" s="1022"/>
      <c r="W38" s="1023"/>
      <c r="Y38" s="1024" t="s">
        <v>579</v>
      </c>
    </row>
    <row r="39" spans="1:25" x14ac:dyDescent="0.65">
      <c r="A39" s="1005">
        <v>1976</v>
      </c>
      <c r="B39" s="1021"/>
      <c r="C39" s="1022"/>
      <c r="D39" s="1022"/>
      <c r="E39" s="1022"/>
      <c r="F39" s="1022"/>
      <c r="G39" s="1022"/>
      <c r="H39" s="1022"/>
      <c r="I39" s="1022"/>
      <c r="J39" s="1022"/>
      <c r="K39" s="1023">
        <f t="shared" si="0"/>
        <v>0</v>
      </c>
      <c r="L39" s="1023"/>
      <c r="N39" s="1022"/>
      <c r="O39" s="1022"/>
      <c r="P39" s="1022"/>
      <c r="Q39" s="1022"/>
      <c r="R39" s="1022"/>
      <c r="S39" s="1022"/>
      <c r="T39" s="1022"/>
      <c r="U39" s="1022"/>
      <c r="V39" s="1022"/>
      <c r="W39" s="1023"/>
      <c r="Y39" s="1024" t="s">
        <v>579</v>
      </c>
    </row>
    <row r="40" spans="1:25" x14ac:dyDescent="0.65">
      <c r="A40" s="1005">
        <v>1977</v>
      </c>
      <c r="B40" s="1021"/>
      <c r="C40" s="1022"/>
      <c r="D40" s="1022"/>
      <c r="E40" s="1022"/>
      <c r="F40" s="1022"/>
      <c r="G40" s="1022"/>
      <c r="H40" s="1022"/>
      <c r="I40" s="1022"/>
      <c r="J40" s="1022"/>
      <c r="K40" s="1023">
        <f t="shared" si="0"/>
        <v>0</v>
      </c>
      <c r="L40" s="1023"/>
      <c r="N40" s="1022"/>
      <c r="O40" s="1022"/>
      <c r="P40" s="1022"/>
      <c r="Q40" s="1022"/>
      <c r="R40" s="1022"/>
      <c r="S40" s="1022"/>
      <c r="T40" s="1022"/>
      <c r="U40" s="1022"/>
      <c r="V40" s="1022"/>
      <c r="W40" s="1023"/>
      <c r="Y40" s="1024" t="s">
        <v>579</v>
      </c>
    </row>
    <row r="41" spans="1:25" x14ac:dyDescent="0.65">
      <c r="A41" s="1005">
        <v>1978</v>
      </c>
      <c r="B41" s="1021"/>
      <c r="C41" s="1022"/>
      <c r="D41" s="1022"/>
      <c r="E41" s="1022"/>
      <c r="F41" s="1022"/>
      <c r="G41" s="1022"/>
      <c r="H41" s="1022"/>
      <c r="I41" s="1022"/>
      <c r="J41" s="1022"/>
      <c r="K41" s="1023">
        <f t="shared" si="0"/>
        <v>0</v>
      </c>
      <c r="L41" s="1023"/>
      <c r="N41" s="1022"/>
      <c r="O41" s="1022"/>
      <c r="P41" s="1022"/>
      <c r="Q41" s="1022"/>
      <c r="R41" s="1022"/>
      <c r="S41" s="1022"/>
      <c r="T41" s="1022"/>
      <c r="U41" s="1022"/>
      <c r="V41" s="1022"/>
      <c r="W41" s="1023"/>
      <c r="Y41" s="1024" t="s">
        <v>579</v>
      </c>
    </row>
    <row r="42" spans="1:25" x14ac:dyDescent="0.65">
      <c r="A42" s="1005">
        <v>1979</v>
      </c>
      <c r="B42" s="1021"/>
      <c r="C42" s="1022"/>
      <c r="D42" s="1022"/>
      <c r="E42" s="1022"/>
      <c r="F42" s="1022"/>
      <c r="G42" s="1022"/>
      <c r="H42" s="1022"/>
      <c r="I42" s="1022"/>
      <c r="J42" s="1022"/>
      <c r="K42" s="1023">
        <f t="shared" si="0"/>
        <v>0</v>
      </c>
      <c r="L42" s="1023"/>
      <c r="N42" s="1022"/>
      <c r="O42" s="1022"/>
      <c r="P42" s="1022"/>
      <c r="Q42" s="1022"/>
      <c r="R42" s="1022"/>
      <c r="S42" s="1022"/>
      <c r="T42" s="1022"/>
      <c r="U42" s="1022"/>
      <c r="V42" s="1022"/>
      <c r="W42" s="1023"/>
      <c r="Y42" s="1024" t="s">
        <v>579</v>
      </c>
    </row>
    <row r="43" spans="1:25" x14ac:dyDescent="0.65">
      <c r="A43" s="1005">
        <v>1980</v>
      </c>
      <c r="B43" s="1021"/>
      <c r="C43" s="1022"/>
      <c r="D43" s="1022"/>
      <c r="E43" s="1022"/>
      <c r="F43" s="1022"/>
      <c r="G43" s="1022"/>
      <c r="H43" s="1022"/>
      <c r="I43" s="1022"/>
      <c r="J43" s="1022"/>
      <c r="K43" s="1023">
        <f t="shared" si="0"/>
        <v>0</v>
      </c>
      <c r="L43" s="1023"/>
      <c r="N43" s="1022"/>
      <c r="O43" s="1022"/>
      <c r="P43" s="1022"/>
      <c r="Q43" s="1022"/>
      <c r="R43" s="1022"/>
      <c r="S43" s="1022"/>
      <c r="T43" s="1022"/>
      <c r="U43" s="1022"/>
      <c r="V43" s="1022"/>
      <c r="W43" s="1023"/>
      <c r="Y43" s="1024" t="s">
        <v>579</v>
      </c>
    </row>
    <row r="44" spans="1:25" x14ac:dyDescent="0.65">
      <c r="A44" s="1005">
        <v>1981</v>
      </c>
      <c r="B44" s="1021"/>
      <c r="C44" s="1022"/>
      <c r="D44" s="1022"/>
      <c r="E44" s="1022"/>
      <c r="F44" s="1022"/>
      <c r="G44" s="1022"/>
      <c r="H44" s="1022"/>
      <c r="I44" s="1022"/>
      <c r="J44" s="1022"/>
      <c r="K44" s="1023">
        <f t="shared" si="0"/>
        <v>0</v>
      </c>
      <c r="L44" s="1023"/>
      <c r="N44" s="1022"/>
      <c r="O44" s="1022"/>
      <c r="P44" s="1022"/>
      <c r="Q44" s="1022"/>
      <c r="R44" s="1022"/>
      <c r="S44" s="1022"/>
      <c r="T44" s="1022"/>
      <c r="U44" s="1022"/>
      <c r="V44" s="1022"/>
      <c r="W44" s="1023"/>
      <c r="Y44" s="1024" t="s">
        <v>579</v>
      </c>
    </row>
    <row r="45" spans="1:25" x14ac:dyDescent="0.65">
      <c r="A45" s="1005">
        <v>1982</v>
      </c>
      <c r="B45" s="1021"/>
      <c r="C45" s="1022"/>
      <c r="D45" s="1022"/>
      <c r="E45" s="1022"/>
      <c r="F45" s="1022"/>
      <c r="G45" s="1022"/>
      <c r="H45" s="1022"/>
      <c r="I45" s="1022"/>
      <c r="J45" s="1022"/>
      <c r="K45" s="1023">
        <f t="shared" si="0"/>
        <v>0</v>
      </c>
      <c r="L45" s="1023"/>
      <c r="N45" s="1022"/>
      <c r="O45" s="1022"/>
      <c r="P45" s="1022"/>
      <c r="Q45" s="1022"/>
      <c r="R45" s="1022"/>
      <c r="S45" s="1022"/>
      <c r="T45" s="1022"/>
      <c r="U45" s="1022"/>
      <c r="V45" s="1022"/>
      <c r="W45" s="1023"/>
      <c r="Y45" s="1024" t="s">
        <v>579</v>
      </c>
    </row>
    <row r="46" spans="1:25" x14ac:dyDescent="0.65">
      <c r="A46" s="1005">
        <v>1983</v>
      </c>
      <c r="B46" s="1021"/>
      <c r="C46" s="1022"/>
      <c r="D46" s="1022"/>
      <c r="E46" s="1022"/>
      <c r="F46" s="1022"/>
      <c r="G46" s="1022"/>
      <c r="H46" s="1022"/>
      <c r="I46" s="1022"/>
      <c r="J46" s="1022"/>
      <c r="K46" s="1023">
        <f t="shared" si="0"/>
        <v>0</v>
      </c>
      <c r="L46" s="1023"/>
      <c r="N46" s="1022"/>
      <c r="O46" s="1022"/>
      <c r="P46" s="1022"/>
      <c r="Q46" s="1022"/>
      <c r="R46" s="1022"/>
      <c r="S46" s="1022"/>
      <c r="T46" s="1022"/>
      <c r="U46" s="1022"/>
      <c r="V46" s="1022"/>
      <c r="W46" s="1023"/>
      <c r="Y46" s="1024" t="s">
        <v>579</v>
      </c>
    </row>
    <row r="47" spans="1:25" x14ac:dyDescent="0.65">
      <c r="A47" s="1005">
        <v>1984</v>
      </c>
      <c r="B47" s="1021"/>
      <c r="C47" s="1022"/>
      <c r="D47" s="1022"/>
      <c r="E47" s="1022"/>
      <c r="F47" s="1022"/>
      <c r="G47" s="1022"/>
      <c r="H47" s="1022"/>
      <c r="I47" s="1022"/>
      <c r="J47" s="1022"/>
      <c r="K47" s="1023">
        <f t="shared" si="0"/>
        <v>0</v>
      </c>
      <c r="L47" s="1023"/>
      <c r="N47" s="1022"/>
      <c r="O47" s="1022"/>
      <c r="P47" s="1022"/>
      <c r="Q47" s="1022"/>
      <c r="R47" s="1022"/>
      <c r="S47" s="1022"/>
      <c r="T47" s="1022"/>
      <c r="U47" s="1022"/>
      <c r="V47" s="1022"/>
      <c r="W47" s="1023"/>
      <c r="Y47" s="1024" t="s">
        <v>579</v>
      </c>
    </row>
    <row r="48" spans="1:25" x14ac:dyDescent="0.65">
      <c r="A48" s="1005">
        <v>1985</v>
      </c>
      <c r="B48" s="1021"/>
      <c r="C48" s="1022"/>
      <c r="D48" s="1022"/>
      <c r="E48" s="1022"/>
      <c r="F48" s="1022"/>
      <c r="G48" s="1022"/>
      <c r="H48" s="1022"/>
      <c r="I48" s="1022"/>
      <c r="J48" s="1022"/>
      <c r="K48" s="1023">
        <f t="shared" si="0"/>
        <v>0</v>
      </c>
      <c r="L48" s="1023"/>
      <c r="N48" s="1022"/>
      <c r="O48" s="1022"/>
      <c r="P48" s="1022"/>
      <c r="Q48" s="1022"/>
      <c r="R48" s="1022"/>
      <c r="S48" s="1022"/>
      <c r="T48" s="1022"/>
      <c r="U48" s="1022"/>
      <c r="V48" s="1022"/>
      <c r="W48" s="1023"/>
      <c r="Y48" s="1024" t="s">
        <v>579</v>
      </c>
    </row>
    <row r="49" spans="1:25" x14ac:dyDescent="0.65">
      <c r="A49" s="1005">
        <v>1986</v>
      </c>
      <c r="B49" s="1021"/>
      <c r="C49" s="1022"/>
      <c r="D49" s="1022"/>
      <c r="E49" s="1022"/>
      <c r="F49" s="1022"/>
      <c r="G49" s="1022"/>
      <c r="H49" s="1022"/>
      <c r="I49" s="1022"/>
      <c r="J49" s="1022"/>
      <c r="K49" s="1023">
        <f t="shared" si="0"/>
        <v>0</v>
      </c>
      <c r="L49" s="1023"/>
      <c r="N49" s="1022"/>
      <c r="O49" s="1022"/>
      <c r="P49" s="1022"/>
      <c r="Q49" s="1022"/>
      <c r="R49" s="1022"/>
      <c r="S49" s="1022"/>
      <c r="T49" s="1022"/>
      <c r="U49" s="1022"/>
      <c r="V49" s="1022"/>
      <c r="W49" s="1023"/>
      <c r="Y49" s="1024" t="s">
        <v>579</v>
      </c>
    </row>
    <row r="50" spans="1:25" ht="14.5" x14ac:dyDescent="0.7">
      <c r="A50" s="1025" t="s">
        <v>1005</v>
      </c>
      <c r="B50" s="1026">
        <f t="shared" ref="B50:J50" si="1">AVERAGE(B74:B84)</f>
        <v>46.231307519949674</v>
      </c>
      <c r="C50" s="1026">
        <f t="shared" si="1"/>
        <v>0.58058562893183485</v>
      </c>
      <c r="D50" s="1026">
        <f t="shared" si="1"/>
        <v>16.224632060991755</v>
      </c>
      <c r="E50" s="1026">
        <f t="shared" si="1"/>
        <v>6.9920902607565951</v>
      </c>
      <c r="F50" s="1026">
        <f t="shared" si="1"/>
        <v>3.5696949362682089</v>
      </c>
      <c r="G50" s="1026">
        <f t="shared" si="1"/>
        <v>5.8719372390837927</v>
      </c>
      <c r="H50" s="1026">
        <f t="shared" si="1"/>
        <v>1.9469428181818182</v>
      </c>
      <c r="I50" s="1026">
        <f t="shared" si="1"/>
        <v>32.368988899472676</v>
      </c>
      <c r="J50" s="1026">
        <f t="shared" si="1"/>
        <v>3.1901982727272724</v>
      </c>
      <c r="K50" s="1026">
        <f t="shared" si="0"/>
        <v>116.97637763636364</v>
      </c>
      <c r="L50" s="1023"/>
      <c r="N50" s="1022"/>
      <c r="O50" s="1022"/>
      <c r="P50" s="1022"/>
      <c r="Q50" s="1022"/>
      <c r="R50" s="1022"/>
      <c r="S50" s="1022"/>
      <c r="T50" s="1022"/>
      <c r="U50" s="1022"/>
      <c r="V50" s="1022"/>
      <c r="W50" s="1023"/>
      <c r="Y50" s="1024" t="s">
        <v>579</v>
      </c>
    </row>
    <row r="51" spans="1:25" ht="14.5" x14ac:dyDescent="0.7">
      <c r="A51" s="1025" t="s">
        <v>1006</v>
      </c>
      <c r="B51" s="1027">
        <f t="shared" ref="B51:J51" si="2">B50*100/$K$50</f>
        <v>39.521917547887952</v>
      </c>
      <c r="C51" s="1027">
        <f t="shared" si="2"/>
        <v>0.49632724201518802</v>
      </c>
      <c r="D51" s="1027">
        <f t="shared" si="2"/>
        <v>13.870007251744575</v>
      </c>
      <c r="E51" s="1027">
        <f t="shared" si="2"/>
        <v>5.9773523527052799</v>
      </c>
      <c r="F51" s="1027">
        <f t="shared" si="2"/>
        <v>3.051637440308737</v>
      </c>
      <c r="G51" s="1027">
        <f t="shared" si="2"/>
        <v>5.0197632699291459</v>
      </c>
      <c r="H51" s="1027">
        <f t="shared" si="2"/>
        <v>1.6643897319458332</v>
      </c>
      <c r="I51" s="1027">
        <f t="shared" si="2"/>
        <v>27.671389346741364</v>
      </c>
      <c r="J51" s="1027">
        <f t="shared" si="2"/>
        <v>2.7272158167219205</v>
      </c>
      <c r="K51" s="1023">
        <f t="shared" si="0"/>
        <v>100</v>
      </c>
      <c r="L51" s="1023"/>
      <c r="N51" s="1022"/>
      <c r="O51" s="1022"/>
      <c r="P51" s="1022"/>
      <c r="Q51" s="1022"/>
      <c r="R51" s="1022"/>
      <c r="S51" s="1022"/>
      <c r="T51" s="1022"/>
      <c r="U51" s="1022"/>
      <c r="V51" s="1022"/>
      <c r="W51" s="1023"/>
      <c r="Y51" s="1024" t="s">
        <v>579</v>
      </c>
    </row>
    <row r="52" spans="1:25" x14ac:dyDescent="0.65">
      <c r="B52" s="1028"/>
      <c r="C52" s="1028"/>
      <c r="D52" s="1028"/>
      <c r="E52" s="1028"/>
      <c r="F52" s="1028"/>
      <c r="G52" s="1028"/>
      <c r="H52" s="1028"/>
      <c r="I52" s="1028"/>
      <c r="J52" s="1028"/>
      <c r="K52" s="1028">
        <f t="shared" si="0"/>
        <v>0</v>
      </c>
      <c r="L52" s="1028"/>
      <c r="N52" s="1022"/>
      <c r="O52" s="1022"/>
      <c r="P52" s="1022"/>
      <c r="Q52" s="1022"/>
      <c r="R52" s="1022"/>
      <c r="S52" s="1022"/>
      <c r="T52" s="1022"/>
      <c r="U52" s="1022"/>
      <c r="V52" s="1022"/>
      <c r="W52" s="1023"/>
      <c r="Y52" s="1024" t="s">
        <v>579</v>
      </c>
    </row>
    <row r="53" spans="1:25" ht="120.95" customHeight="1" x14ac:dyDescent="0.65">
      <c r="A53" s="1005">
        <v>1990</v>
      </c>
      <c r="B53" s="1029" t="s">
        <v>1007</v>
      </c>
      <c r="C53" s="1028"/>
      <c r="D53" s="1028"/>
      <c r="E53" s="1028"/>
      <c r="F53" s="1028"/>
      <c r="G53" s="1028"/>
      <c r="H53" s="1028"/>
      <c r="I53" s="1028"/>
      <c r="J53" s="1028"/>
      <c r="K53" s="1028" t="s">
        <v>1008</v>
      </c>
      <c r="L53" s="1028" t="s">
        <v>1009</v>
      </c>
      <c r="M53" s="1030" t="s">
        <v>1010</v>
      </c>
      <c r="N53" s="1030" t="s">
        <v>1011</v>
      </c>
      <c r="O53" s="1030" t="s">
        <v>1012</v>
      </c>
      <c r="P53" s="1028"/>
      <c r="Q53" s="1030" t="s">
        <v>1013</v>
      </c>
      <c r="R53" s="1028" t="s">
        <v>1014</v>
      </c>
      <c r="S53" s="1028"/>
      <c r="T53" s="1028"/>
      <c r="U53" s="1028"/>
      <c r="V53" s="1028"/>
      <c r="W53" s="1028"/>
      <c r="X53" s="1028"/>
      <c r="Y53" s="1024" t="s">
        <v>579</v>
      </c>
    </row>
    <row r="54" spans="1:25" ht="14.5" x14ac:dyDescent="0.7">
      <c r="A54" s="1005">
        <v>1991</v>
      </c>
      <c r="B54" s="1026">
        <f t="shared" ref="B54:B73" si="3">$K54*$B$51/100</f>
        <v>19.818265554388415</v>
      </c>
      <c r="C54" s="1026">
        <f t="shared" ref="C54:C73" si="4">$K54*$C$51/100</f>
        <v>0.24888329550851604</v>
      </c>
      <c r="D54" s="1026">
        <f t="shared" ref="D54:D73" si="5">$K54*$D$51/100</f>
        <v>6.9551151363873176</v>
      </c>
      <c r="E54" s="1026">
        <f t="shared" ref="E54:E73" si="6">$K54*$E$51/100</f>
        <v>2.9973433372640632</v>
      </c>
      <c r="F54" s="1026">
        <f t="shared" ref="F54:F73" si="7">$K54*$F$51/100</f>
        <v>1.5302435944428163</v>
      </c>
      <c r="G54" s="1026">
        <f t="shared" ref="G54:G73" si="8">$K54*$G$51/100</f>
        <v>2.5171602917059706</v>
      </c>
      <c r="H54" s="1026">
        <f t="shared" ref="H54:H73" si="9">$K54*$H$51/100</f>
        <v>0.83460823108423809</v>
      </c>
      <c r="I54" s="1026">
        <f t="shared" ref="I54:I73" si="10">$K54*$I$51/100</f>
        <v>13.875818187923457</v>
      </c>
      <c r="J54" s="1026">
        <f t="shared" ref="J54:J73" si="11">$K54*$J$51/100</f>
        <v>1.3675623712952072</v>
      </c>
      <c r="K54" s="1031">
        <f>[1]Urdun!C3/1000</f>
        <v>50.145000000000003</v>
      </c>
      <c r="L54" s="1032" t="b">
        <f t="shared" ref="L54:L73" si="12">SUM(B54:J54)=K54</f>
        <v>1</v>
      </c>
      <c r="M54" s="1033">
        <f>[2]Results!$O56</f>
        <v>0</v>
      </c>
      <c r="N54" s="1034">
        <f t="shared" ref="N54:N86" si="13">M54*28</f>
        <v>0</v>
      </c>
      <c r="O54" s="1035">
        <f t="shared" ref="O54:O86" si="14">M54*28/K54</f>
        <v>0</v>
      </c>
      <c r="P54" s="1028"/>
      <c r="Q54" s="1036">
        <v>248.23601068627133</v>
      </c>
      <c r="R54" s="1037">
        <f t="shared" ref="R54:R85" si="15">K54/Q54</f>
        <v>0.20200534105172546</v>
      </c>
      <c r="S54" s="1028"/>
      <c r="T54" s="1028"/>
      <c r="U54" s="1028"/>
      <c r="V54" s="1028"/>
      <c r="W54" s="1028"/>
      <c r="X54" s="1028"/>
      <c r="Y54" s="1024" t="s">
        <v>579</v>
      </c>
    </row>
    <row r="55" spans="1:25" ht="14.5" x14ac:dyDescent="0.7">
      <c r="A55" s="1005">
        <v>1992</v>
      </c>
      <c r="B55" s="1026">
        <f t="shared" si="3"/>
        <v>29.285740902984973</v>
      </c>
      <c r="C55" s="1026">
        <f t="shared" si="4"/>
        <v>0.36777848633325427</v>
      </c>
      <c r="D55" s="1026">
        <f t="shared" si="5"/>
        <v>10.27767537354273</v>
      </c>
      <c r="E55" s="1026">
        <f t="shared" si="6"/>
        <v>4.4292180933546117</v>
      </c>
      <c r="F55" s="1026">
        <f t="shared" si="7"/>
        <v>2.2612633432687739</v>
      </c>
      <c r="G55" s="1026">
        <f t="shared" si="8"/>
        <v>3.7196445830174967</v>
      </c>
      <c r="H55" s="1026">
        <f t="shared" si="9"/>
        <v>1.2333127913718622</v>
      </c>
      <c r="I55" s="1026">
        <f t="shared" si="10"/>
        <v>20.50449950593535</v>
      </c>
      <c r="J55" s="1026">
        <f t="shared" si="11"/>
        <v>2.0208669201909428</v>
      </c>
      <c r="K55" s="1031">
        <f>[1]Urdun!C4/1000</f>
        <v>74.099999999999994</v>
      </c>
      <c r="L55" s="1032" t="b">
        <f t="shared" si="12"/>
        <v>1</v>
      </c>
      <c r="M55" s="1033">
        <f>[2]Results!$O57</f>
        <v>0.29047425362550955</v>
      </c>
      <c r="N55" s="1034">
        <f t="shared" si="13"/>
        <v>8.1332791015142671</v>
      </c>
      <c r="O55" s="1035">
        <f t="shared" si="14"/>
        <v>0.10976085157239228</v>
      </c>
      <c r="P55" s="1028"/>
      <c r="Q55" s="1036">
        <v>241.58668509514334</v>
      </c>
      <c r="R55" s="1037">
        <f t="shared" si="15"/>
        <v>0.30672220189128974</v>
      </c>
      <c r="S55" s="1028"/>
      <c r="T55" s="1028"/>
      <c r="U55" s="1028"/>
      <c r="V55" s="1028"/>
      <c r="W55" s="1028"/>
      <c r="X55" s="1028"/>
      <c r="Y55" s="1024" t="s">
        <v>579</v>
      </c>
    </row>
    <row r="56" spans="1:25" ht="14.5" x14ac:dyDescent="0.7">
      <c r="A56" s="1005">
        <v>1993</v>
      </c>
      <c r="B56" s="1026">
        <f t="shared" si="3"/>
        <v>28.394916881455579</v>
      </c>
      <c r="C56" s="1026">
        <f t="shared" si="4"/>
        <v>0.35659127029823201</v>
      </c>
      <c r="D56" s="1026">
        <f t="shared" si="5"/>
        <v>9.9650454100884076</v>
      </c>
      <c r="E56" s="1026">
        <f t="shared" si="6"/>
        <v>4.2944885713246359</v>
      </c>
      <c r="F56" s="1026">
        <f t="shared" si="7"/>
        <v>2.1924794353642154</v>
      </c>
      <c r="G56" s="1026">
        <f t="shared" si="8"/>
        <v>3.6064991189132947</v>
      </c>
      <c r="H56" s="1026">
        <f t="shared" si="9"/>
        <v>1.1957974468138033</v>
      </c>
      <c r="I56" s="1026">
        <f t="shared" si="10"/>
        <v>19.880786390059804</v>
      </c>
      <c r="J56" s="1026">
        <f t="shared" si="11"/>
        <v>1.9593954756820309</v>
      </c>
      <c r="K56" s="1031">
        <f>[1]Urdun!C5/1000</f>
        <v>71.846000000000004</v>
      </c>
      <c r="L56" s="1032" t="b">
        <f t="shared" si="12"/>
        <v>1</v>
      </c>
      <c r="M56" s="1033">
        <f>[2]Results!$O58</f>
        <v>0.67849135172631725</v>
      </c>
      <c r="N56" s="1034">
        <f t="shared" si="13"/>
        <v>18.997757848336882</v>
      </c>
      <c r="O56" s="1035">
        <f t="shared" si="14"/>
        <v>0.26442331999466751</v>
      </c>
      <c r="P56" s="1028"/>
      <c r="Q56" s="1036">
        <v>242.55872138806694</v>
      </c>
      <c r="R56" s="1037">
        <f t="shared" si="15"/>
        <v>0.29620043999594803</v>
      </c>
      <c r="S56" s="1028"/>
      <c r="T56" s="1028"/>
      <c r="U56" s="1028"/>
      <c r="V56" s="1028"/>
      <c r="W56" s="1028"/>
      <c r="X56" s="1028"/>
      <c r="Y56" s="1024" t="s">
        <v>579</v>
      </c>
    </row>
    <row r="57" spans="1:25" ht="14.5" x14ac:dyDescent="0.7">
      <c r="A57" s="1005">
        <v>1994</v>
      </c>
      <c r="B57" s="1026">
        <f t="shared" si="3"/>
        <v>28.910677905455515</v>
      </c>
      <c r="C57" s="1026">
        <f t="shared" si="4"/>
        <v>0.36306834080653017</v>
      </c>
      <c r="D57" s="1026">
        <f t="shared" si="5"/>
        <v>10.146049004723674</v>
      </c>
      <c r="E57" s="1026">
        <f t="shared" si="6"/>
        <v>4.3724930195274387</v>
      </c>
      <c r="F57" s="1026">
        <f t="shared" si="7"/>
        <v>2.232303303960244</v>
      </c>
      <c r="G57" s="1026">
        <f t="shared" si="8"/>
        <v>3.6720070295858691</v>
      </c>
      <c r="H57" s="1026">
        <f t="shared" si="9"/>
        <v>1.2175177328156963</v>
      </c>
      <c r="I57" s="1026">
        <f t="shared" si="10"/>
        <v>20.241898021034775</v>
      </c>
      <c r="J57" s="1026">
        <f t="shared" si="11"/>
        <v>1.9949856420902521</v>
      </c>
      <c r="K57" s="1031">
        <f>[1]Urdun!C6/1000</f>
        <v>73.150999999999996</v>
      </c>
      <c r="L57" s="1032" t="b">
        <f t="shared" si="12"/>
        <v>1</v>
      </c>
      <c r="M57" s="1033">
        <f>[2]Results!$O59</f>
        <v>0.99900161260244347</v>
      </c>
      <c r="N57" s="1034">
        <f t="shared" si="13"/>
        <v>27.972045152868418</v>
      </c>
      <c r="O57" s="1035">
        <f t="shared" si="14"/>
        <v>0.38238773431488865</v>
      </c>
      <c r="P57" s="1028"/>
      <c r="Q57" s="1036">
        <v>251.48771583268544</v>
      </c>
      <c r="R57" s="1037">
        <f t="shared" si="15"/>
        <v>0.29087305420781384</v>
      </c>
      <c r="S57" s="1028"/>
      <c r="T57" s="1028"/>
      <c r="U57" s="1028"/>
      <c r="V57" s="1028"/>
      <c r="W57" s="1028"/>
      <c r="X57" s="1028"/>
      <c r="Y57" s="1024" t="s">
        <v>579</v>
      </c>
    </row>
    <row r="58" spans="1:25" ht="14.5" x14ac:dyDescent="0.7">
      <c r="A58" s="1005">
        <v>1995</v>
      </c>
      <c r="B58" s="1026">
        <f t="shared" si="3"/>
        <v>27.961756665130725</v>
      </c>
      <c r="C58" s="1026">
        <f t="shared" si="4"/>
        <v>0.35115152372574548</v>
      </c>
      <c r="D58" s="1026">
        <f t="shared" si="5"/>
        <v>9.8130301306092864</v>
      </c>
      <c r="E58" s="1026">
        <f t="shared" si="6"/>
        <v>4.2289767895389856</v>
      </c>
      <c r="F58" s="1026">
        <f t="shared" si="7"/>
        <v>2.1590334890184315</v>
      </c>
      <c r="G58" s="1026">
        <f t="shared" si="8"/>
        <v>3.5514825134748707</v>
      </c>
      <c r="H58" s="1026">
        <f t="shared" si="9"/>
        <v>1.177555735351677</v>
      </c>
      <c r="I58" s="1026">
        <f t="shared" si="10"/>
        <v>19.577507962819517</v>
      </c>
      <c r="J58" s="1026">
        <f t="shared" si="11"/>
        <v>1.9295051903307587</v>
      </c>
      <c r="K58" s="1031">
        <f>[1]Urdun!C7/1000</f>
        <v>70.75</v>
      </c>
      <c r="L58" s="1032" t="b">
        <f t="shared" si="12"/>
        <v>1</v>
      </c>
      <c r="M58" s="1033">
        <f>[2]Results!$O60</f>
        <v>1.2829663433752103</v>
      </c>
      <c r="N58" s="1034">
        <f t="shared" si="13"/>
        <v>35.923057614505886</v>
      </c>
      <c r="O58" s="1035">
        <f t="shared" si="14"/>
        <v>0.50774639737817506</v>
      </c>
      <c r="P58" s="1028"/>
      <c r="Q58" s="1036">
        <v>261.56358993576953</v>
      </c>
      <c r="R58" s="1037">
        <f t="shared" si="15"/>
        <v>0.27048871755191012</v>
      </c>
      <c r="S58" s="1028"/>
      <c r="T58" s="1028"/>
      <c r="U58" s="1028"/>
      <c r="V58" s="1028"/>
      <c r="W58" s="1028"/>
      <c r="X58" s="1028"/>
      <c r="Y58" s="1024" t="s">
        <v>579</v>
      </c>
    </row>
    <row r="59" spans="1:25" ht="14.5" x14ac:dyDescent="0.7">
      <c r="A59" s="1005">
        <v>1996</v>
      </c>
      <c r="B59" s="1026">
        <f t="shared" si="3"/>
        <v>22.835763959169658</v>
      </c>
      <c r="C59" s="1026">
        <f t="shared" si="4"/>
        <v>0.28677788043637564</v>
      </c>
      <c r="D59" s="1026">
        <f t="shared" si="5"/>
        <v>8.014090190058015</v>
      </c>
      <c r="E59" s="1026">
        <f t="shared" si="6"/>
        <v>3.4537141893931107</v>
      </c>
      <c r="F59" s="1026">
        <f t="shared" si="7"/>
        <v>1.7632361130103882</v>
      </c>
      <c r="G59" s="1026">
        <f t="shared" si="8"/>
        <v>2.9004192173650609</v>
      </c>
      <c r="H59" s="1026">
        <f t="shared" si="9"/>
        <v>0.96168438711830251</v>
      </c>
      <c r="I59" s="1026">
        <f t="shared" si="10"/>
        <v>15.988528764547162</v>
      </c>
      <c r="J59" s="1026">
        <f t="shared" si="11"/>
        <v>1.5757852989019256</v>
      </c>
      <c r="K59" s="1031">
        <f>[1]Urdun!C8/1000</f>
        <v>57.78</v>
      </c>
      <c r="L59" s="1032" t="b">
        <f t="shared" si="12"/>
        <v>1</v>
      </c>
      <c r="M59" s="1033">
        <f>[2]Results!$O61</f>
        <v>1.4224449519075688</v>
      </c>
      <c r="N59" s="1034">
        <f t="shared" si="13"/>
        <v>39.828458653411928</v>
      </c>
      <c r="O59" s="1035">
        <f t="shared" si="14"/>
        <v>0.68931219545538125</v>
      </c>
      <c r="P59" s="1028"/>
      <c r="Q59" s="1036">
        <v>266.95466712349304</v>
      </c>
      <c r="R59" s="1037">
        <f t="shared" si="15"/>
        <v>0.21644124308668114</v>
      </c>
      <c r="S59" s="1028"/>
      <c r="T59" s="1028"/>
      <c r="U59" s="1028"/>
      <c r="V59" s="1028"/>
      <c r="W59" s="1028"/>
      <c r="X59" s="1028"/>
      <c r="Y59" s="1036">
        <f>[3]Sorpa!M10</f>
        <v>0.10246121677999999</v>
      </c>
    </row>
    <row r="60" spans="1:25" ht="14.5" x14ac:dyDescent="0.7">
      <c r="A60" s="1005">
        <v>1997</v>
      </c>
      <c r="B60" s="1026">
        <f t="shared" si="3"/>
        <v>24.354196031359514</v>
      </c>
      <c r="C60" s="1026">
        <f t="shared" si="4"/>
        <v>0.30584677307459918</v>
      </c>
      <c r="D60" s="1026">
        <f t="shared" si="5"/>
        <v>8.5469758686700406</v>
      </c>
      <c r="E60" s="1026">
        <f t="shared" si="6"/>
        <v>3.6833640667840473</v>
      </c>
      <c r="F60" s="1026">
        <f t="shared" si="7"/>
        <v>1.8804800234670498</v>
      </c>
      <c r="G60" s="1026">
        <f t="shared" si="8"/>
        <v>3.0932785221957384</v>
      </c>
      <c r="H60" s="1026">
        <f t="shared" si="9"/>
        <v>1.0256302406196613</v>
      </c>
      <c r="I60" s="1026">
        <f t="shared" si="10"/>
        <v>17.051663543248964</v>
      </c>
      <c r="J60" s="1026">
        <f t="shared" si="11"/>
        <v>1.6805649305803818</v>
      </c>
      <c r="K60" s="1031">
        <f>[1]Urdun!C9/1000</f>
        <v>61.622</v>
      </c>
      <c r="L60" s="1032" t="b">
        <f t="shared" si="12"/>
        <v>1</v>
      </c>
      <c r="M60" s="1033">
        <f>[2]Results!$O62</f>
        <v>1.4562780251693788</v>
      </c>
      <c r="N60" s="1034">
        <f t="shared" si="13"/>
        <v>40.775784704742605</v>
      </c>
      <c r="O60" s="1035">
        <f t="shared" si="14"/>
        <v>0.66170823252641275</v>
      </c>
      <c r="P60" s="1028"/>
      <c r="Q60" s="1036">
        <v>273.06673271980139</v>
      </c>
      <c r="R60" s="1037">
        <f t="shared" si="15"/>
        <v>0.22566644931893415</v>
      </c>
      <c r="S60" s="1028"/>
      <c r="T60" s="1028"/>
      <c r="U60" s="1028"/>
      <c r="V60" s="1028"/>
      <c r="W60" s="1028"/>
      <c r="X60" s="1028"/>
      <c r="Y60" s="1036">
        <f>[3]Sorpa!M11</f>
        <v>0.20492243355999998</v>
      </c>
    </row>
    <row r="61" spans="1:25" ht="14.5" x14ac:dyDescent="0.7">
      <c r="A61" s="1005">
        <v>1998</v>
      </c>
      <c r="B61" s="1026">
        <f t="shared" si="3"/>
        <v>30.566646250712019</v>
      </c>
      <c r="C61" s="1026">
        <f t="shared" si="4"/>
        <v>0.38386445224696653</v>
      </c>
      <c r="D61" s="1026">
        <f t="shared" si="5"/>
        <v>10.727202308571771</v>
      </c>
      <c r="E61" s="1026">
        <f t="shared" si="6"/>
        <v>4.6229440831057902</v>
      </c>
      <c r="F61" s="1026">
        <f t="shared" si="7"/>
        <v>2.3601669127091802</v>
      </c>
      <c r="G61" s="1026">
        <f t="shared" si="8"/>
        <v>3.8823351105959008</v>
      </c>
      <c r="H61" s="1026">
        <f t="shared" si="9"/>
        <v>1.2872556625842266</v>
      </c>
      <c r="I61" s="1026">
        <f t="shared" si="10"/>
        <v>21.401329234663237</v>
      </c>
      <c r="J61" s="1026">
        <f t="shared" si="11"/>
        <v>2.1092559848109005</v>
      </c>
      <c r="K61" s="1031">
        <f>[1]Urdun!C10/1000</f>
        <v>77.340999999999994</v>
      </c>
      <c r="L61" s="1032" t="b">
        <f t="shared" si="12"/>
        <v>1</v>
      </c>
      <c r="M61" s="1033">
        <f>[2]Results!$O63</f>
        <v>1.5586041685799217</v>
      </c>
      <c r="N61" s="1034">
        <f t="shared" si="13"/>
        <v>43.640916720237804</v>
      </c>
      <c r="O61" s="1035">
        <f t="shared" si="14"/>
        <v>0.56426625877914438</v>
      </c>
      <c r="P61" s="1028"/>
      <c r="Q61" s="1036">
        <v>287.44554491556676</v>
      </c>
      <c r="R61" s="1037">
        <f t="shared" si="15"/>
        <v>0.26906313688986855</v>
      </c>
      <c r="S61" s="1028"/>
      <c r="T61" s="1028"/>
      <c r="U61" s="1028"/>
      <c r="V61" s="1028"/>
      <c r="W61" s="1028"/>
      <c r="X61" s="1028"/>
      <c r="Y61" s="1036">
        <f>[3]Sorpa!M12</f>
        <v>0.23907617248666663</v>
      </c>
    </row>
    <row r="62" spans="1:25" ht="14.5" x14ac:dyDescent="0.7">
      <c r="A62" s="1005">
        <v>1999</v>
      </c>
      <c r="B62" s="1026">
        <f t="shared" si="3"/>
        <v>32.402044101635937</v>
      </c>
      <c r="C62" s="1026">
        <f t="shared" si="4"/>
        <v>0.40691388936615192</v>
      </c>
      <c r="D62" s="1026">
        <f t="shared" si="5"/>
        <v>11.371325445342789</v>
      </c>
      <c r="E62" s="1026">
        <f t="shared" si="6"/>
        <v>4.9005323263654237</v>
      </c>
      <c r="F62" s="1026">
        <f t="shared" si="7"/>
        <v>2.5018849554371183</v>
      </c>
      <c r="G62" s="1026">
        <f t="shared" si="8"/>
        <v>4.1154529168514102</v>
      </c>
      <c r="H62" s="1026">
        <f t="shared" si="9"/>
        <v>1.3645499217357915</v>
      </c>
      <c r="I62" s="1026">
        <f t="shared" si="10"/>
        <v>22.686388555925905</v>
      </c>
      <c r="J62" s="1026">
        <f t="shared" si="11"/>
        <v>2.2359078873394664</v>
      </c>
      <c r="K62" s="1031">
        <f>[1]Urdun!C11/1000</f>
        <v>81.984999999999999</v>
      </c>
      <c r="L62" s="1032" t="b">
        <f t="shared" si="12"/>
        <v>1</v>
      </c>
      <c r="M62" s="1033">
        <f>[2]Results!$O64</f>
        <v>1.7357867131612321</v>
      </c>
      <c r="N62" s="1034">
        <f t="shared" si="13"/>
        <v>48.602027968514498</v>
      </c>
      <c r="O62" s="1035">
        <f t="shared" si="14"/>
        <v>0.59281610012215036</v>
      </c>
      <c r="P62" s="1028"/>
      <c r="Q62" s="1036">
        <v>292.76630151590473</v>
      </c>
      <c r="R62" s="1037">
        <f t="shared" si="15"/>
        <v>0.28003564472923503</v>
      </c>
      <c r="S62" s="1028"/>
      <c r="T62" s="1028"/>
      <c r="U62" s="1028"/>
      <c r="V62" s="1028"/>
      <c r="W62" s="1028"/>
      <c r="X62" s="1028"/>
      <c r="Y62" s="1036">
        <f>[3]Sorpa!M13</f>
        <v>0.27322991141333325</v>
      </c>
    </row>
    <row r="63" spans="1:25" ht="14.5" x14ac:dyDescent="0.7">
      <c r="A63" s="1005">
        <v>2000</v>
      </c>
      <c r="B63" s="1026">
        <f t="shared" si="3"/>
        <v>34.893901003030273</v>
      </c>
      <c r="C63" s="1026">
        <f t="shared" si="4"/>
        <v>0.43820732197520956</v>
      </c>
      <c r="D63" s="1026">
        <f t="shared" si="5"/>
        <v>12.245829402565287</v>
      </c>
      <c r="E63" s="1026">
        <f t="shared" si="6"/>
        <v>5.2774043922034926</v>
      </c>
      <c r="F63" s="1026">
        <f t="shared" si="7"/>
        <v>2.6942906960485842</v>
      </c>
      <c r="G63" s="1026">
        <f t="shared" si="8"/>
        <v>4.4319489910204428</v>
      </c>
      <c r="H63" s="1026">
        <f t="shared" si="9"/>
        <v>1.469489694334976</v>
      </c>
      <c r="I63" s="1026">
        <f t="shared" si="10"/>
        <v>24.431069654237955</v>
      </c>
      <c r="J63" s="1026">
        <f t="shared" si="11"/>
        <v>2.4078588445837839</v>
      </c>
      <c r="K63" s="1031">
        <f>[1]Urdun!C12/1000</f>
        <v>88.29</v>
      </c>
      <c r="L63" s="1032" t="b">
        <f t="shared" si="12"/>
        <v>1</v>
      </c>
      <c r="M63" s="1033">
        <f>[2]Results!$O65</f>
        <v>1.8823587683182799</v>
      </c>
      <c r="N63" s="1034">
        <f t="shared" si="13"/>
        <v>52.706045512911835</v>
      </c>
      <c r="O63" s="1035">
        <f t="shared" si="14"/>
        <v>0.59696506413990069</v>
      </c>
      <c r="P63" s="1028"/>
      <c r="Q63" s="1036">
        <v>304.03507683122274</v>
      </c>
      <c r="R63" s="1037">
        <f t="shared" si="15"/>
        <v>0.29039412465230757</v>
      </c>
      <c r="S63" s="1028"/>
      <c r="T63" s="1028"/>
      <c r="U63" s="1028"/>
      <c r="V63" s="1028"/>
      <c r="W63" s="1028"/>
      <c r="X63" s="1028"/>
      <c r="Y63" s="1036">
        <f>[3]Sorpa!M14</f>
        <v>0.3415373892666666</v>
      </c>
    </row>
    <row r="64" spans="1:25" ht="14.5" x14ac:dyDescent="0.7">
      <c r="A64" s="1005">
        <v>2001</v>
      </c>
      <c r="B64" s="1026">
        <f t="shared" si="3"/>
        <v>42.315721899348155</v>
      </c>
      <c r="C64" s="1026">
        <f t="shared" si="4"/>
        <v>0.53141261475324164</v>
      </c>
      <c r="D64" s="1026">
        <f t="shared" si="5"/>
        <v>14.8504780643704</v>
      </c>
      <c r="E64" s="1026">
        <f t="shared" si="6"/>
        <v>6.3998913905180164</v>
      </c>
      <c r="F64" s="1026">
        <f t="shared" si="7"/>
        <v>3.2673576909641615</v>
      </c>
      <c r="G64" s="1026">
        <f t="shared" si="8"/>
        <v>5.3746103354804369</v>
      </c>
      <c r="H64" s="1026">
        <f t="shared" si="9"/>
        <v>1.7820454420970842</v>
      </c>
      <c r="I64" s="1026">
        <f t="shared" si="10"/>
        <v>29.627479859662511</v>
      </c>
      <c r="J64" s="1026">
        <f t="shared" si="11"/>
        <v>2.9200027028059932</v>
      </c>
      <c r="K64" s="1031">
        <f>[1]Urdun!C13/1000</f>
        <v>107.069</v>
      </c>
      <c r="L64" s="1032" t="b">
        <f t="shared" si="12"/>
        <v>1</v>
      </c>
      <c r="M64" s="1033">
        <f>[2]Results!$O66</f>
        <v>2.1003415611486558</v>
      </c>
      <c r="N64" s="1034">
        <f t="shared" si="13"/>
        <v>58.809563712162358</v>
      </c>
      <c r="O64" s="1035">
        <f t="shared" si="14"/>
        <v>0.54926788997900755</v>
      </c>
      <c r="P64" s="1028"/>
      <c r="Q64" s="1036">
        <v>302.29357041648279</v>
      </c>
      <c r="R64" s="1037">
        <f t="shared" si="15"/>
        <v>0.35418881007785397</v>
      </c>
      <c r="S64" s="1028"/>
      <c r="T64" s="1028"/>
      <c r="U64" s="1028"/>
      <c r="V64" s="1028"/>
      <c r="W64" s="1028"/>
      <c r="X64" s="1028"/>
      <c r="Y64" s="1036">
        <f>[3]Sorpa!M15</f>
        <v>0.3415373892666666</v>
      </c>
    </row>
    <row r="65" spans="1:26" ht="14.5" x14ac:dyDescent="0.7">
      <c r="A65" s="1005">
        <v>2002</v>
      </c>
      <c r="B65" s="1026">
        <f t="shared" si="3"/>
        <v>42.086494777570408</v>
      </c>
      <c r="C65" s="1026">
        <f t="shared" si="4"/>
        <v>0.52853391674955363</v>
      </c>
      <c r="D65" s="1026">
        <f t="shared" si="5"/>
        <v>14.770032022310282</v>
      </c>
      <c r="E65" s="1026">
        <f t="shared" si="6"/>
        <v>6.365222746872325</v>
      </c>
      <c r="F65" s="1026">
        <f t="shared" si="7"/>
        <v>3.2496581938103706</v>
      </c>
      <c r="G65" s="1026">
        <f t="shared" si="8"/>
        <v>5.3454957085148491</v>
      </c>
      <c r="H65" s="1026">
        <f t="shared" si="9"/>
        <v>1.7723919816517983</v>
      </c>
      <c r="I65" s="1026">
        <f t="shared" si="10"/>
        <v>29.466985801451411</v>
      </c>
      <c r="J65" s="1026">
        <f t="shared" si="11"/>
        <v>2.9041848510690063</v>
      </c>
      <c r="K65" s="1031">
        <f>[1]Urdun!C14/1000</f>
        <v>106.489</v>
      </c>
      <c r="L65" s="1032" t="b">
        <f t="shared" si="12"/>
        <v>1</v>
      </c>
      <c r="M65" s="1033">
        <f>[2]Results!$O67</f>
        <v>2.2198995394948531</v>
      </c>
      <c r="N65" s="1034">
        <f t="shared" si="13"/>
        <v>62.157187105855883</v>
      </c>
      <c r="O65" s="1035">
        <f t="shared" si="14"/>
        <v>0.58369584751341341</v>
      </c>
      <c r="P65" s="1028"/>
      <c r="Q65" s="1036">
        <v>299.21955378385076</v>
      </c>
      <c r="R65" s="1037">
        <f t="shared" si="15"/>
        <v>0.35588917453210689</v>
      </c>
      <c r="S65" s="1028"/>
      <c r="T65" s="1028"/>
      <c r="U65" s="1028"/>
      <c r="V65" s="1028"/>
      <c r="W65" s="1028"/>
      <c r="X65" s="1028"/>
      <c r="Y65" s="1036">
        <f>[3]Sorpa!M16</f>
        <v>0.54086270809136439</v>
      </c>
    </row>
    <row r="66" spans="1:26" ht="14.5" x14ac:dyDescent="0.7">
      <c r="A66" s="1005">
        <v>2003</v>
      </c>
      <c r="B66" s="1026">
        <f t="shared" si="3"/>
        <v>43.021978565928904</v>
      </c>
      <c r="C66" s="1026">
        <f t="shared" si="4"/>
        <v>0.54028198256805304</v>
      </c>
      <c r="D66" s="1026">
        <f t="shared" si="5"/>
        <v>15.098335093959074</v>
      </c>
      <c r="E66" s="1026">
        <f t="shared" si="6"/>
        <v>6.5067066770608593</v>
      </c>
      <c r="F66" s="1026">
        <f t="shared" si="7"/>
        <v>3.3218904520224783</v>
      </c>
      <c r="G66" s="1026">
        <f t="shared" si="8"/>
        <v>5.4643135051140712</v>
      </c>
      <c r="H66" s="1026">
        <f t="shared" si="9"/>
        <v>1.811788086606956</v>
      </c>
      <c r="I66" s="1026">
        <f t="shared" si="10"/>
        <v>30.121967587288779</v>
      </c>
      <c r="J66" s="1026">
        <f t="shared" si="11"/>
        <v>2.9687380494508138</v>
      </c>
      <c r="K66" s="1031">
        <f>[1]Urdun!C15/1000</f>
        <v>108.85599999999999</v>
      </c>
      <c r="L66" s="1032" t="b">
        <f t="shared" si="12"/>
        <v>1</v>
      </c>
      <c r="M66" s="1033">
        <f>[2]Results!$O68</f>
        <v>2.3214842665702116</v>
      </c>
      <c r="N66" s="1034">
        <f t="shared" si="13"/>
        <v>65.001559463965918</v>
      </c>
      <c r="O66" s="1035">
        <f t="shared" si="14"/>
        <v>0.59713345579449839</v>
      </c>
      <c r="P66" s="1028"/>
      <c r="Q66" s="1036">
        <v>305.82692307692304</v>
      </c>
      <c r="R66" s="1037">
        <f t="shared" si="15"/>
        <v>0.35593988555618439</v>
      </c>
      <c r="S66" s="1028"/>
      <c r="T66" s="1028"/>
      <c r="U66" s="1028"/>
      <c r="V66" s="1028"/>
      <c r="W66" s="1028"/>
      <c r="X66" s="1028"/>
      <c r="Y66" s="1036">
        <f>[3]Sorpa!M17</f>
        <v>0.71296749699150896</v>
      </c>
    </row>
    <row r="67" spans="1:26" ht="14.5" x14ac:dyDescent="0.7">
      <c r="A67" s="1005">
        <v>2004</v>
      </c>
      <c r="B67" s="1026">
        <f t="shared" si="3"/>
        <v>45.940276957664956</v>
      </c>
      <c r="C67" s="1026">
        <f t="shared" si="4"/>
        <v>0.5769307861184545</v>
      </c>
      <c r="D67" s="1026">
        <f t="shared" si="5"/>
        <v>16.122496429427894</v>
      </c>
      <c r="E67" s="1026">
        <f t="shared" si="6"/>
        <v>6.9480743747846168</v>
      </c>
      <c r="F67" s="1026">
        <f t="shared" si="7"/>
        <v>3.5472233606148755</v>
      </c>
      <c r="G67" s="1026">
        <f t="shared" si="8"/>
        <v>5.8349728249656394</v>
      </c>
      <c r="H67" s="1026">
        <f t="shared" si="9"/>
        <v>1.9346866244138363</v>
      </c>
      <c r="I67" s="1026">
        <f t="shared" si="10"/>
        <v>32.16522297665216</v>
      </c>
      <c r="J67" s="1026">
        <f t="shared" si="11"/>
        <v>3.1701156653575602</v>
      </c>
      <c r="K67" s="1031">
        <f>[1]Urdun!C16/1000</f>
        <v>116.24</v>
      </c>
      <c r="L67" s="1032" t="b">
        <f t="shared" si="12"/>
        <v>1</v>
      </c>
      <c r="M67" s="1033">
        <f>[2]Results!$O69</f>
        <v>2.5887904569797757</v>
      </c>
      <c r="N67" s="1034">
        <f t="shared" si="13"/>
        <v>72.486132795433718</v>
      </c>
      <c r="O67" s="1035">
        <f t="shared" si="14"/>
        <v>0.62359026837090259</v>
      </c>
      <c r="P67" s="1028"/>
      <c r="Q67" s="1036">
        <v>306.11175533177368</v>
      </c>
      <c r="R67" s="1037">
        <f t="shared" si="15"/>
        <v>0.37973059830392786</v>
      </c>
      <c r="S67" s="1028"/>
      <c r="T67" s="1028"/>
      <c r="U67" s="1028"/>
      <c r="V67" s="1028"/>
      <c r="W67" s="1028"/>
      <c r="X67" s="1028"/>
      <c r="Y67" s="1036">
        <f>[3]Sorpa!M18</f>
        <v>0.67979533652159463</v>
      </c>
    </row>
    <row r="68" spans="1:26" ht="14.5" x14ac:dyDescent="0.7">
      <c r="A68" s="1005">
        <v>2005</v>
      </c>
      <c r="B68" s="1026">
        <f t="shared" si="3"/>
        <v>50.51019628372724</v>
      </c>
      <c r="C68" s="1026">
        <f t="shared" si="4"/>
        <v>0.63432110511267081</v>
      </c>
      <c r="D68" s="1026">
        <f t="shared" si="5"/>
        <v>17.726285367947117</v>
      </c>
      <c r="E68" s="1026">
        <f t="shared" si="6"/>
        <v>7.6392356273279294</v>
      </c>
      <c r="F68" s="1026">
        <f t="shared" si="7"/>
        <v>3.9000841978377752</v>
      </c>
      <c r="G68" s="1026">
        <f t="shared" si="8"/>
        <v>6.415408051867546</v>
      </c>
      <c r="H68" s="1026">
        <f t="shared" si="9"/>
        <v>2.1271400091187331</v>
      </c>
      <c r="I68" s="1026">
        <f t="shared" si="10"/>
        <v>35.364865726815864</v>
      </c>
      <c r="J68" s="1026">
        <f t="shared" si="11"/>
        <v>3.4854636302451159</v>
      </c>
      <c r="K68" s="1031">
        <f>[1]Urdun!C17/1000</f>
        <v>127.803</v>
      </c>
      <c r="L68" s="1032" t="b">
        <f t="shared" si="12"/>
        <v>1</v>
      </c>
      <c r="M68" s="1033">
        <f>[2]Results!$O70</f>
        <v>2.3889125076741324</v>
      </c>
      <c r="N68" s="1034">
        <f t="shared" si="13"/>
        <v>66.889550214875712</v>
      </c>
      <c r="O68" s="1035">
        <f t="shared" si="14"/>
        <v>0.52338012577854753</v>
      </c>
      <c r="P68" s="1028"/>
      <c r="Q68" s="1036">
        <v>285.79130495978245</v>
      </c>
      <c r="R68" s="1037">
        <f t="shared" si="15"/>
        <v>0.44718995218551133</v>
      </c>
      <c r="S68" s="1028"/>
      <c r="T68" s="1028"/>
      <c r="U68" s="1028"/>
      <c r="V68" s="1028"/>
      <c r="W68" s="1028"/>
      <c r="X68" s="1028"/>
      <c r="Y68" s="1036">
        <f>[3]Sorpa!M19</f>
        <v>1.1801175565070059</v>
      </c>
    </row>
    <row r="69" spans="1:26" ht="14.5" x14ac:dyDescent="0.7">
      <c r="A69" s="1005">
        <v>2006</v>
      </c>
      <c r="B69" s="1026">
        <f t="shared" si="3"/>
        <v>50.768669624490421</v>
      </c>
      <c r="C69" s="1026">
        <f t="shared" si="4"/>
        <v>0.63756708527545003</v>
      </c>
      <c r="D69" s="1026">
        <f t="shared" si="5"/>
        <v>17.816995215373527</v>
      </c>
      <c r="E69" s="1026">
        <f t="shared" si="6"/>
        <v>7.6783275117146204</v>
      </c>
      <c r="F69" s="1026">
        <f t="shared" si="7"/>
        <v>3.9200419066973939</v>
      </c>
      <c r="G69" s="1026">
        <f t="shared" si="8"/>
        <v>6.4482373036528831</v>
      </c>
      <c r="H69" s="1026">
        <f t="shared" si="9"/>
        <v>2.1380251179656589</v>
      </c>
      <c r="I69" s="1026">
        <f t="shared" si="10"/>
        <v>35.54583661314355</v>
      </c>
      <c r="J69" s="1026">
        <f t="shared" si="11"/>
        <v>3.5032996216864776</v>
      </c>
      <c r="K69" s="1031">
        <f>[1]Urdun!C18/1000</f>
        <v>128.45699999999999</v>
      </c>
      <c r="L69" s="1032" t="b">
        <f t="shared" si="12"/>
        <v>1</v>
      </c>
      <c r="M69" s="1033">
        <f>[2]Results!$O71</f>
        <v>3.398089691834477</v>
      </c>
      <c r="N69" s="1034">
        <f t="shared" si="13"/>
        <v>95.146511371365349</v>
      </c>
      <c r="O69" s="1035">
        <f t="shared" si="14"/>
        <v>0.74068763377134261</v>
      </c>
      <c r="P69" s="1028"/>
      <c r="Q69" s="1036">
        <v>253.57783416951801</v>
      </c>
      <c r="R69" s="1037">
        <f t="shared" si="15"/>
        <v>0.50657818898368645</v>
      </c>
      <c r="S69" s="1028"/>
      <c r="T69" s="1028"/>
      <c r="U69" s="1028"/>
      <c r="V69" s="1028"/>
      <c r="W69" s="1028"/>
      <c r="X69" s="1028"/>
      <c r="Y69" s="1036">
        <f>[3]Sorpa!M20</f>
        <v>0.37648554416076752</v>
      </c>
    </row>
    <row r="70" spans="1:26" ht="14.5" x14ac:dyDescent="0.7">
      <c r="A70" s="1005">
        <v>2007</v>
      </c>
      <c r="B70" s="1026">
        <f t="shared" si="3"/>
        <v>51.61325300248879</v>
      </c>
      <c r="C70" s="1026">
        <f t="shared" si="4"/>
        <v>0.6481735984373147</v>
      </c>
      <c r="D70" s="1026">
        <f t="shared" si="5"/>
        <v>18.113397270343309</v>
      </c>
      <c r="E70" s="1026">
        <f t="shared" si="6"/>
        <v>7.8060635314919331</v>
      </c>
      <c r="F70" s="1026">
        <f t="shared" si="7"/>
        <v>3.9852553987967916</v>
      </c>
      <c r="G70" s="1026">
        <f t="shared" si="8"/>
        <v>6.5555096447312691</v>
      </c>
      <c r="H70" s="1026">
        <f t="shared" si="9"/>
        <v>2.1735931265373414</v>
      </c>
      <c r="I70" s="1026">
        <f t="shared" si="10"/>
        <v>36.137174203483411</v>
      </c>
      <c r="J70" s="1026">
        <f t="shared" si="11"/>
        <v>3.5615802236898246</v>
      </c>
      <c r="K70" s="1031">
        <f>[1]Urdun!C19/1000</f>
        <v>130.59399999999999</v>
      </c>
      <c r="L70" s="1032" t="b">
        <f t="shared" si="12"/>
        <v>1</v>
      </c>
      <c r="M70" s="1033">
        <f>[2]Results!$O72</f>
        <v>3.6263400035252897</v>
      </c>
      <c r="N70" s="1034">
        <f t="shared" si="13"/>
        <v>101.53752009870811</v>
      </c>
      <c r="O70" s="1035">
        <f t="shared" si="14"/>
        <v>0.77750524601978743</v>
      </c>
      <c r="P70" s="1028"/>
      <c r="Q70" s="1036">
        <v>197.00523691798696</v>
      </c>
      <c r="R70" s="1037">
        <f t="shared" si="15"/>
        <v>0.66289608359175811</v>
      </c>
      <c r="S70" s="1028"/>
      <c r="T70" s="1028"/>
      <c r="U70" s="1028"/>
      <c r="V70" s="1028"/>
      <c r="W70" s="1028"/>
      <c r="X70" s="1028"/>
      <c r="Y70" s="1036">
        <f>[3]Sorpa!M21</f>
        <v>0.40438026889173329</v>
      </c>
    </row>
    <row r="71" spans="1:26" ht="14.5" x14ac:dyDescent="0.7">
      <c r="A71" s="1005">
        <v>2008</v>
      </c>
      <c r="B71" s="1026">
        <f t="shared" si="3"/>
        <v>48.807592075764234</v>
      </c>
      <c r="C71" s="1026">
        <f t="shared" si="4"/>
        <v>0.61293932752665647</v>
      </c>
      <c r="D71" s="1026">
        <f t="shared" si="5"/>
        <v>17.128765455541963</v>
      </c>
      <c r="E71" s="1026">
        <f t="shared" si="6"/>
        <v>7.3817312879733858</v>
      </c>
      <c r="F71" s="1026">
        <f t="shared" si="7"/>
        <v>3.7686196569092747</v>
      </c>
      <c r="G71" s="1026">
        <f t="shared" si="8"/>
        <v>6.1991566501989981</v>
      </c>
      <c r="H71" s="1026">
        <f t="shared" si="9"/>
        <v>2.0554380994665067</v>
      </c>
      <c r="I71" s="1026">
        <f t="shared" si="10"/>
        <v>34.172782273758251</v>
      </c>
      <c r="J71" s="1026">
        <f t="shared" si="11"/>
        <v>3.3679751728607359</v>
      </c>
      <c r="K71" s="1031">
        <f>[1]Urdun!C20/1000</f>
        <v>123.495</v>
      </c>
      <c r="L71" s="1032" t="b">
        <f t="shared" si="12"/>
        <v>1</v>
      </c>
      <c r="M71" s="1033">
        <f>[2]Results!$O73</f>
        <v>3.658334728263648</v>
      </c>
      <c r="N71" s="1034">
        <f t="shared" si="13"/>
        <v>102.43337239138215</v>
      </c>
      <c r="O71" s="1035">
        <f t="shared" si="14"/>
        <v>0.8294536004808466</v>
      </c>
      <c r="P71" s="1028"/>
      <c r="Q71" s="1036">
        <v>186.36699999999996</v>
      </c>
      <c r="R71" s="1037">
        <f t="shared" si="15"/>
        <v>0.66264413764239394</v>
      </c>
      <c r="S71" s="1028"/>
      <c r="T71" s="1028"/>
      <c r="U71" s="1028"/>
      <c r="V71" s="1028"/>
      <c r="W71" s="1028"/>
      <c r="X71" s="1028"/>
      <c r="Y71" s="1036">
        <f>[3]Sorpa!M22</f>
        <v>0.62911187102919996</v>
      </c>
    </row>
    <row r="72" spans="1:26" ht="14.5" x14ac:dyDescent="0.7">
      <c r="A72" s="1005">
        <v>2009</v>
      </c>
      <c r="B72" s="1026">
        <f t="shared" si="3"/>
        <v>37.097247906325023</v>
      </c>
      <c r="C72" s="1026">
        <f t="shared" si="4"/>
        <v>0.46587756571755617</v>
      </c>
      <c r="D72" s="1026">
        <f t="shared" si="5"/>
        <v>13.019082306850043</v>
      </c>
      <c r="E72" s="1026">
        <f t="shared" si="6"/>
        <v>5.6106417858668101</v>
      </c>
      <c r="F72" s="1026">
        <f t="shared" si="7"/>
        <v>2.8644194833457961</v>
      </c>
      <c r="G72" s="1026">
        <f t="shared" si="8"/>
        <v>4.7118007933189929</v>
      </c>
      <c r="H72" s="1026">
        <f t="shared" si="9"/>
        <v>1.5622794218909561</v>
      </c>
      <c r="I72" s="1026">
        <f t="shared" si="10"/>
        <v>25.973749610318777</v>
      </c>
      <c r="J72" s="1026">
        <f t="shared" si="11"/>
        <v>2.5599011263660305</v>
      </c>
      <c r="K72" s="1031">
        <f>[1]Urdun!C21/1000</f>
        <v>93.864999999999995</v>
      </c>
      <c r="L72" s="1032" t="b">
        <f t="shared" si="12"/>
        <v>1</v>
      </c>
      <c r="M72" s="1033">
        <f>[2]Results!$O74</f>
        <v>3.6651793941487312</v>
      </c>
      <c r="N72" s="1034">
        <f t="shared" si="13"/>
        <v>102.62502303616448</v>
      </c>
      <c r="O72" s="1035">
        <f t="shared" si="14"/>
        <v>1.0933257661126563</v>
      </c>
      <c r="P72" s="1028"/>
      <c r="Q72" s="1036">
        <v>136.45768000000004</v>
      </c>
      <c r="R72" s="1037">
        <f t="shared" si="15"/>
        <v>0.68786894222443151</v>
      </c>
      <c r="S72" s="1028"/>
      <c r="T72" s="1028"/>
      <c r="U72" s="1028"/>
      <c r="V72" s="1028"/>
      <c r="W72" s="1028"/>
      <c r="X72" s="1028"/>
      <c r="Y72" s="1036">
        <f>[3]Sorpa!M23</f>
        <v>0.80429732718052971</v>
      </c>
    </row>
    <row r="73" spans="1:26" ht="14.5" x14ac:dyDescent="0.7">
      <c r="A73" s="1005">
        <v>2010</v>
      </c>
      <c r="B73" s="1026">
        <f t="shared" si="3"/>
        <v>38.791947730778467</v>
      </c>
      <c r="C73" s="1026">
        <f t="shared" si="4"/>
        <v>0.48716007785516752</v>
      </c>
      <c r="D73" s="1026">
        <f t="shared" si="5"/>
        <v>13.613828217804853</v>
      </c>
      <c r="E73" s="1026">
        <f t="shared" si="6"/>
        <v>5.8669506547508137</v>
      </c>
      <c r="F73" s="1026">
        <f t="shared" si="7"/>
        <v>2.9952736967862346</v>
      </c>
      <c r="G73" s="1026">
        <f t="shared" si="8"/>
        <v>4.9270482423335551</v>
      </c>
      <c r="H73" s="1026">
        <f t="shared" si="9"/>
        <v>1.6336484535967939</v>
      </c>
      <c r="I73" s="1026">
        <f t="shared" si="10"/>
        <v>27.160298785507052</v>
      </c>
      <c r="J73" s="1026">
        <f t="shared" si="11"/>
        <v>2.6768441405870669</v>
      </c>
      <c r="K73" s="1031">
        <f>[1]Urdun!C22/1000</f>
        <v>98.153000000000006</v>
      </c>
      <c r="L73" s="1032" t="b">
        <f t="shared" si="12"/>
        <v>1</v>
      </c>
      <c r="M73" s="1033">
        <f>[2]Results!$O75</f>
        <v>3.913902419941905</v>
      </c>
      <c r="N73" s="1034">
        <f t="shared" si="13"/>
        <v>109.58926775837334</v>
      </c>
      <c r="O73" s="1035">
        <f t="shared" si="14"/>
        <v>1.1165147041697485</v>
      </c>
      <c r="P73" s="1028"/>
      <c r="Q73" s="1036">
        <v>120.16871789999998</v>
      </c>
      <c r="R73" s="1037">
        <f t="shared" si="15"/>
        <v>0.81679326962345855</v>
      </c>
      <c r="S73" s="1028"/>
      <c r="T73" s="1028"/>
      <c r="U73" s="1028"/>
      <c r="V73" s="1028"/>
      <c r="W73" s="1028"/>
      <c r="X73" s="1028"/>
      <c r="Y73" s="1036">
        <f>[3]Sorpa!M24</f>
        <v>0.49932766310786658</v>
      </c>
    </row>
    <row r="74" spans="1:26" ht="14.5" x14ac:dyDescent="0.7">
      <c r="A74" s="1005">
        <v>2011</v>
      </c>
      <c r="B74" s="1038">
        <f>'[4]2011'!$AJ$114/1000000</f>
        <v>48.799386580111758</v>
      </c>
      <c r="C74" s="1036">
        <f>'[4]2011'!$AH$114/1000000</f>
        <v>0.61554823215131382</v>
      </c>
      <c r="D74" s="1036">
        <f>'[4]2011'!$AE$114/1000000</f>
        <v>10.510916960421911</v>
      </c>
      <c r="E74" s="1036">
        <f>'[4]2011'!$AG$114/1000000</f>
        <v>0.29964021786018952</v>
      </c>
      <c r="F74" s="1036">
        <f>'[4]2011'!$AF$114/1000000</f>
        <v>2.5930126719240878</v>
      </c>
      <c r="G74" s="1036">
        <f>'[4]2011'!$AI$114/1000000</f>
        <v>6.3936278445723236</v>
      </c>
      <c r="H74" s="1036">
        <f>'[4]2011'!$AP$114/1000000</f>
        <v>1.90276</v>
      </c>
      <c r="I74" s="1036">
        <f>SUM('[4]2011'!$AK$114:$AM$114)/1000000</f>
        <v>33.522708492958422</v>
      </c>
      <c r="J74" s="1036">
        <f>'[4]2011'!$AT$114/1000000</f>
        <v>1.7513000000000001</v>
      </c>
      <c r="K74" s="1026">
        <f t="shared" ref="K74:K86" si="16">SUM(B74:J74)</f>
        <v>106.38890099999999</v>
      </c>
      <c r="L74" s="1026"/>
      <c r="M74" s="1033">
        <f>[2]Results!$O76</f>
        <v>3.6053205161156821</v>
      </c>
      <c r="N74" s="1034">
        <f t="shared" si="13"/>
        <v>100.9489744512391</v>
      </c>
      <c r="O74" s="1035">
        <f t="shared" si="14"/>
        <v>0.94886753695518578</v>
      </c>
      <c r="P74" s="1028"/>
      <c r="Q74" s="1036">
        <v>123.67981599999999</v>
      </c>
      <c r="R74" s="1037">
        <f t="shared" si="15"/>
        <v>0.8601961455052618</v>
      </c>
      <c r="S74" s="1028"/>
      <c r="T74" s="1028"/>
      <c r="U74" s="1028"/>
      <c r="V74" s="1028"/>
      <c r="W74" s="1028"/>
      <c r="X74" s="1028"/>
      <c r="Y74" s="1036">
        <f>[3]Sorpa!M25</f>
        <v>0.85042809927399976</v>
      </c>
    </row>
    <row r="75" spans="1:26" ht="14.5" x14ac:dyDescent="0.7">
      <c r="A75" s="1005">
        <v>2012</v>
      </c>
      <c r="B75" s="1038">
        <f>'[4]2012'!$AJ$114/1000000</f>
        <v>50.756329332588962</v>
      </c>
      <c r="C75" s="1036">
        <f>'[4]2012'!$AH$114/1000000</f>
        <v>0.642386738075858</v>
      </c>
      <c r="D75" s="1036">
        <f>'[4]2012'!$AE$114/1000000</f>
        <v>10.969203236590323</v>
      </c>
      <c r="E75" s="1036">
        <f>'[4]2012'!$AG$114/1000000</f>
        <v>0.36142965746463696</v>
      </c>
      <c r="F75" s="1036">
        <f>'[4]2012'!$AF$114/1000000</f>
        <v>2.7060705645844716</v>
      </c>
      <c r="G75" s="1036">
        <f>'[4]2012'!$AI$114/1000000</f>
        <v>6.6723962819150247</v>
      </c>
      <c r="H75" s="1036">
        <f>'[4]2012'!$AP$114/1000000</f>
        <v>3.27616</v>
      </c>
      <c r="I75" s="1036">
        <f>SUM('[4]2012'!$AK$114:$AM$114)/1000000</f>
        <v>32.573425188780718</v>
      </c>
      <c r="J75" s="1036">
        <f>'[4]2012'!$AT$114/1000000</f>
        <v>1.3287</v>
      </c>
      <c r="K75" s="1026">
        <f t="shared" si="16"/>
        <v>109.286101</v>
      </c>
      <c r="L75" s="1026"/>
      <c r="M75" s="1033">
        <f>[2]Results!$O77</f>
        <v>3.1162282489449455</v>
      </c>
      <c r="N75" s="1034">
        <f t="shared" si="13"/>
        <v>87.254390970458473</v>
      </c>
      <c r="O75" s="1035">
        <f t="shared" si="14"/>
        <v>0.79840336668666101</v>
      </c>
      <c r="P75" s="1028"/>
      <c r="Q75" s="1036">
        <v>132.13800000000001</v>
      </c>
      <c r="R75" s="1037">
        <f t="shared" si="15"/>
        <v>0.82706035356975283</v>
      </c>
      <c r="S75" s="1028"/>
      <c r="T75" s="1028"/>
      <c r="U75" s="1028"/>
      <c r="V75" s="1028"/>
      <c r="W75" s="1028"/>
      <c r="X75" s="1028"/>
      <c r="Y75" s="1036">
        <f>[3]Sorpa!M26</f>
        <v>1.5065316656326135</v>
      </c>
    </row>
    <row r="76" spans="1:26" ht="14.5" x14ac:dyDescent="0.7">
      <c r="A76" s="1005">
        <v>2013</v>
      </c>
      <c r="B76" s="1038">
        <f>'[4]2013'!$AJ$114/1000000</f>
        <v>49.727465995832731</v>
      </c>
      <c r="C76" s="1036">
        <f>'[4]2013'!$AH$114/1000000</f>
        <v>0.61855205817795567</v>
      </c>
      <c r="D76" s="1036">
        <f>'[4]2013'!$AE$114/1000000</f>
        <v>10.562209392566896</v>
      </c>
      <c r="E76" s="1036">
        <f>'[4]2013'!$AG$114/1000000</f>
        <v>0.26936677420217175</v>
      </c>
      <c r="F76" s="1036">
        <f>'[4]2013'!$AF$114/1000000</f>
        <v>2.6056663658907095</v>
      </c>
      <c r="G76" s="1036">
        <f>'[4]2013'!$AI$114/1000000</f>
        <v>6.4248282359000131</v>
      </c>
      <c r="H76" s="1036">
        <f>'[4]2013'!$AP$114/1000000</f>
        <v>3.5835810000000001</v>
      </c>
      <c r="I76" s="1036">
        <f>SUM('[4]2013'!$AK$114:$AM$114)/1000000</f>
        <v>31.199018177429519</v>
      </c>
      <c r="J76" s="1036">
        <f>'[4]2013'!$AT$114/1000000</f>
        <v>1.5432399999999999</v>
      </c>
      <c r="K76" s="1026">
        <f t="shared" si="16"/>
        <v>106.53392799999999</v>
      </c>
      <c r="L76" s="1026"/>
      <c r="M76" s="1033">
        <f>[2]Results!$O78</f>
        <v>3.38103561557062</v>
      </c>
      <c r="N76" s="1034">
        <f t="shared" si="13"/>
        <v>94.668997235977358</v>
      </c>
      <c r="O76" s="1035">
        <f t="shared" si="14"/>
        <v>0.88862767958745847</v>
      </c>
      <c r="P76" s="1028"/>
      <c r="Q76" s="1036">
        <v>133.166</v>
      </c>
      <c r="R76" s="1037">
        <f t="shared" si="15"/>
        <v>0.8000084706306414</v>
      </c>
      <c r="S76" s="1028"/>
      <c r="T76" s="1028"/>
      <c r="U76" s="1028"/>
      <c r="V76" s="1028"/>
      <c r="W76" s="1028"/>
      <c r="X76" s="1028"/>
      <c r="Y76" s="1036">
        <f>[3]Sorpa!M27</f>
        <v>1.3429366268677683</v>
      </c>
    </row>
    <row r="77" spans="1:26" ht="14.5" x14ac:dyDescent="0.7">
      <c r="A77" s="1005">
        <v>2014</v>
      </c>
      <c r="B77" s="1038">
        <f>'[4]2014'!$AJ$114/1000000</f>
        <v>49.454343177680123</v>
      </c>
      <c r="C77" s="1036">
        <f>'[4]2014'!$AH$114/1000000</f>
        <v>0.63345332906500951</v>
      </c>
      <c r="D77" s="1036">
        <f>'[4]2014'!$AE$114/1000000</f>
        <v>10.816659024159815</v>
      </c>
      <c r="E77" s="1036">
        <f>'[4]2014'!$AG$114/1000000</f>
        <v>0.2878777081068728</v>
      </c>
      <c r="F77" s="1036">
        <f>'[4]2014'!$AF$114/1000000</f>
        <v>2.6684383506348808</v>
      </c>
      <c r="G77" s="1036">
        <f>'[4]2014'!$AI$114/1000000</f>
        <v>6.5796060022661127</v>
      </c>
      <c r="H77" s="1036">
        <f>'[4]2014'!$AP$114/1000000</f>
        <v>2.4087000000000001</v>
      </c>
      <c r="I77" s="1036">
        <f>SUM('[4]2014'!$AK$114:$AM$114)/1000000</f>
        <v>33.43725340808718</v>
      </c>
      <c r="J77" s="1036">
        <f>'[4]2014'!$AT$114/1000000</f>
        <v>2.1689609999999999</v>
      </c>
      <c r="K77" s="1026">
        <f t="shared" si="16"/>
        <v>108.45529199999999</v>
      </c>
      <c r="L77" s="1026"/>
      <c r="M77" s="1033">
        <f>[2]Results!$O79</f>
        <v>3.5062591060455213</v>
      </c>
      <c r="N77" s="1034">
        <f t="shared" si="13"/>
        <v>98.17525496927459</v>
      </c>
      <c r="O77" s="1035">
        <f t="shared" si="14"/>
        <v>0.90521405787441522</v>
      </c>
      <c r="P77" s="1028"/>
      <c r="Q77" s="1036">
        <v>133.048</v>
      </c>
      <c r="R77" s="1037">
        <f t="shared" si="15"/>
        <v>0.81515913053935407</v>
      </c>
      <c r="S77" s="1028"/>
      <c r="T77" s="1028"/>
      <c r="U77" s="1028"/>
      <c r="V77" s="1028"/>
      <c r="W77" s="1028"/>
      <c r="X77" s="1028"/>
      <c r="Y77" s="1036">
        <f>[3]Sorpa!M28</f>
        <v>1.2980773922399997</v>
      </c>
    </row>
    <row r="78" spans="1:26" ht="14.5" x14ac:dyDescent="0.7">
      <c r="A78" s="1005">
        <v>2015</v>
      </c>
      <c r="B78" s="1038">
        <f>'[4]2015'!$AJ$114/1000000</f>
        <v>51.603982710915901</v>
      </c>
      <c r="C78" s="1036">
        <f>'[4]2015'!$AH$114/1000000</f>
        <v>1.9347663529983172</v>
      </c>
      <c r="D78" s="1036">
        <f>'[4]2015'!$AE$114/1000000</f>
        <v>10.900104845410581</v>
      </c>
      <c r="E78" s="1036">
        <f>'[4]2015'!$AG$114/1000000</f>
        <v>0.92095679625765126</v>
      </c>
      <c r="F78" s="1036">
        <f>'[4]2015'!$AF$114/1000000</f>
        <v>3.6527239652971697</v>
      </c>
      <c r="G78" s="1036">
        <f>'[4]2015'!$AI$114/1000000</f>
        <v>6.5755596846543547</v>
      </c>
      <c r="H78" s="1036">
        <f>'[4]2015'!$AP$114/1000000</f>
        <v>2.0701800000000001</v>
      </c>
      <c r="I78" s="1036">
        <f>SUM('[4]2015'!$AK$114:$AM$114)/1000000</f>
        <v>31.789566644466035</v>
      </c>
      <c r="J78" s="1036">
        <f>'[4]2015'!$AT$114/1000000</f>
        <v>2.2903210000000001</v>
      </c>
      <c r="K78" s="1026">
        <f t="shared" si="16"/>
        <v>111.738162</v>
      </c>
      <c r="L78" s="1026"/>
      <c r="M78" s="1033">
        <f>[2]Results!$O80</f>
        <v>3.6292215800446357</v>
      </c>
      <c r="N78" s="1034">
        <f t="shared" si="13"/>
        <v>101.6182042412498</v>
      </c>
      <c r="O78" s="1035">
        <f t="shared" si="14"/>
        <v>0.90943149969882087</v>
      </c>
      <c r="P78" s="1028"/>
      <c r="Q78" s="1036">
        <v>143.157678</v>
      </c>
      <c r="R78" s="1037">
        <f t="shared" si="15"/>
        <v>0.78052510742735015</v>
      </c>
      <c r="S78" s="1028"/>
      <c r="T78" s="1028"/>
      <c r="U78" s="1028"/>
      <c r="V78" s="1028"/>
      <c r="W78" s="1028"/>
      <c r="X78" s="1028"/>
      <c r="Y78" s="1036">
        <f>[3]Sorpa!M29</f>
        <v>1.2372753345799998</v>
      </c>
    </row>
    <row r="79" spans="1:26" ht="14.5" x14ac:dyDescent="0.7">
      <c r="A79" s="1005">
        <v>2016</v>
      </c>
      <c r="B79" s="1038">
        <f>'[4]2016'!$AJ$114/1000000</f>
        <v>53.466223788451195</v>
      </c>
      <c r="C79" s="1036">
        <f>'[4]2016'!$AH$114/1000000</f>
        <v>1.941735207781728</v>
      </c>
      <c r="D79" s="1036">
        <f>'[4]2016'!$AE$114/1000000</f>
        <v>14.107999893994039</v>
      </c>
      <c r="E79" s="1036">
        <f>'[4]2016'!$AG$114/1000000</f>
        <v>0.9064173338056698</v>
      </c>
      <c r="F79" s="1036">
        <f>'[4]2016'!$AF$114/1000000</f>
        <v>4.7134658715740612</v>
      </c>
      <c r="G79" s="1036">
        <f>'[4]2016'!$AI$114/1000000</f>
        <v>6.9586865899828449</v>
      </c>
      <c r="H79" s="1036">
        <f>'[4]2016'!$AP$114/1000000</f>
        <v>1.6671400000000001</v>
      </c>
      <c r="I79" s="1036">
        <f>SUM('[4]2016'!$AK$114:$AM$114)/1000000</f>
        <v>35.433911314410459</v>
      </c>
      <c r="J79" s="1036">
        <f>'[4]2016'!$AT$114/1000000</f>
        <v>3.3559190000000001</v>
      </c>
      <c r="K79" s="1026">
        <f t="shared" si="16"/>
        <v>122.55149899999998</v>
      </c>
      <c r="L79" s="1026"/>
      <c r="M79" s="1033">
        <f>[2]Results!$O81</f>
        <v>3.7133140904600279</v>
      </c>
      <c r="N79" s="1034">
        <f t="shared" si="13"/>
        <v>103.97279453288078</v>
      </c>
      <c r="O79" s="1035">
        <f t="shared" si="14"/>
        <v>0.84840083867828331</v>
      </c>
      <c r="P79" s="1028"/>
      <c r="Q79" s="1036">
        <v>158.358575</v>
      </c>
      <c r="R79" s="1037">
        <f t="shared" si="15"/>
        <v>0.77388609363275707</v>
      </c>
      <c r="S79" s="1028"/>
      <c r="T79" s="1028"/>
      <c r="U79" s="1028"/>
      <c r="V79" s="1028"/>
      <c r="W79" s="1028"/>
      <c r="X79" s="1028"/>
      <c r="Y79" s="1036">
        <f>[3]Sorpa!M30</f>
        <v>1.2501413281999998</v>
      </c>
    </row>
    <row r="80" spans="1:26" ht="14.5" x14ac:dyDescent="0.7">
      <c r="A80" s="1005">
        <v>2017</v>
      </c>
      <c r="B80" s="1038">
        <f>'[4]2017'!$AJ$114/1000000</f>
        <v>49.067232350000005</v>
      </c>
      <c r="C80" s="1036">
        <f>'[4]2017'!$AH$114/1000000</f>
        <v>0</v>
      </c>
      <c r="D80" s="1036">
        <f>'[4]2017'!$AE$114/1000000</f>
        <v>30.508294229999997</v>
      </c>
      <c r="E80" s="1036">
        <f>'[4]2017'!$AG$114/1000000</f>
        <v>10.369154680000001</v>
      </c>
      <c r="F80" s="1036">
        <f>'[4]2017'!$AF$114/1000000</f>
        <v>4.5333609900000003</v>
      </c>
      <c r="G80" s="1036">
        <f>'[4]2017'!$AI$114/1000000</f>
        <v>2.6955119399999998</v>
      </c>
      <c r="H80" s="1036">
        <f>'[4]2017'!$AP$114/1000000</f>
        <v>1.47356</v>
      </c>
      <c r="I80" s="1036">
        <f>SUM('[4]2017'!$AK$114:$AM$114)/1000000</f>
        <v>38.953550810000003</v>
      </c>
      <c r="J80" s="1036">
        <f>'[4]2017'!$AT$114/1000000</f>
        <v>4.3246900000000004</v>
      </c>
      <c r="K80" s="1026">
        <f t="shared" si="16"/>
        <v>141.92535500000002</v>
      </c>
      <c r="L80" s="1026"/>
      <c r="M80" s="1033">
        <f>[2]Results!$O82</f>
        <v>3.7446441135266277</v>
      </c>
      <c r="N80" s="1034">
        <f t="shared" si="13"/>
        <v>104.85003517874557</v>
      </c>
      <c r="O80" s="1035">
        <f t="shared" si="14"/>
        <v>0.73876887733517071</v>
      </c>
      <c r="P80" s="1028"/>
      <c r="Q80" s="1036">
        <v>179.965867</v>
      </c>
      <c r="R80" s="1037">
        <f t="shared" si="15"/>
        <v>0.78862373941165198</v>
      </c>
      <c r="S80" s="1028"/>
      <c r="T80" s="1028"/>
      <c r="U80" s="1028"/>
      <c r="V80" s="1028"/>
      <c r="W80" s="1028"/>
      <c r="X80" s="1028"/>
      <c r="Y80" s="1036">
        <f>[3]Sorpa!M31</f>
        <v>1.3602565711444807</v>
      </c>
      <c r="Z80" s="1039"/>
    </row>
    <row r="81" spans="1:112" ht="14.5" x14ac:dyDescent="0.7">
      <c r="A81" s="1005">
        <v>2018</v>
      </c>
      <c r="B81" s="1038">
        <f>'[4]2018'!$AJ$114/1000000</f>
        <v>42.275551399999998</v>
      </c>
      <c r="C81" s="1036">
        <f>'[4]2018'!$AH$114/1000000</f>
        <v>0</v>
      </c>
      <c r="D81" s="1036">
        <f>'[4]2018'!$AE$114/1000000</f>
        <v>34.060189800000003</v>
      </c>
      <c r="E81" s="1036">
        <f>'[4]2018'!$AG$114/1000000</f>
        <v>11.553919199999999</v>
      </c>
      <c r="F81" s="1036">
        <f>'[4]2018'!$AF$114/1000000</f>
        <v>4.2419283999999999</v>
      </c>
      <c r="G81" s="1036">
        <f>'[4]2018'!$AI$114/1000000</f>
        <v>3.6181153999999998</v>
      </c>
      <c r="H81" s="1036">
        <f>'[4]2018'!$AP$114/1000000</f>
        <v>1.3650199999999999</v>
      </c>
      <c r="I81" s="1036">
        <f>SUM('[4]2018'!$AK$114:$AM$114)/1000000</f>
        <v>44.713388799999997</v>
      </c>
      <c r="J81" s="1036">
        <f>'[4]2018'!$AT$114/1000000</f>
        <v>5.5338399999999996</v>
      </c>
      <c r="K81" s="1026">
        <f t="shared" si="16"/>
        <v>147.361953</v>
      </c>
      <c r="L81" s="1026"/>
      <c r="M81" s="1033">
        <f>[2]Results!$O83</f>
        <v>3.749192786530184</v>
      </c>
      <c r="N81" s="1034">
        <f t="shared" si="13"/>
        <v>104.97739802284515</v>
      </c>
      <c r="O81" s="1035">
        <f t="shared" si="14"/>
        <v>0.71237789596100931</v>
      </c>
      <c r="P81" s="1040"/>
      <c r="Q81" s="1036">
        <v>185.144991</v>
      </c>
      <c r="R81" s="1037">
        <f t="shared" si="15"/>
        <v>0.79592730110640686</v>
      </c>
      <c r="S81" s="1028"/>
      <c r="T81" s="1028"/>
      <c r="U81" s="1028"/>
      <c r="V81" s="1028"/>
      <c r="W81" s="1028"/>
      <c r="X81" s="1028"/>
      <c r="Y81" s="1036">
        <f>[3]Sorpa!M32</f>
        <v>1.5143009519369941</v>
      </c>
    </row>
    <row r="82" spans="1:112" s="1041" customFormat="1" ht="14.5" x14ac:dyDescent="0.7">
      <c r="A82" s="1005">
        <v>2019</v>
      </c>
      <c r="B82" s="1038">
        <f>'[4]2019'!$AJ$114/1000000</f>
        <v>43.084159980000003</v>
      </c>
      <c r="C82" s="1036">
        <f>'[4]2019'!$AH$114/1000000</f>
        <v>0</v>
      </c>
      <c r="D82" s="1036">
        <f>'[4]2019'!$AE$114/1000000</f>
        <v>22.869217719999998</v>
      </c>
      <c r="E82" s="1036">
        <f>'[4]2019'!$AG$114/1000000</f>
        <v>20.169047219999999</v>
      </c>
      <c r="F82" s="1036">
        <f>'[4]2019'!$AF$114/1000000</f>
        <v>3.4414842200000004</v>
      </c>
      <c r="G82" s="1036">
        <f>'[4]2019'!$AI$114/1000000</f>
        <v>5.9948434799999992</v>
      </c>
      <c r="H82" s="1036">
        <f>'[4]2019'!$AP$114/1000000</f>
        <v>1.03556</v>
      </c>
      <c r="I82" s="1036">
        <f>SUM('[4]2019'!$AK$114:$AM$114)/1000000</f>
        <v>29.413300379999999</v>
      </c>
      <c r="J82" s="1036">
        <f>'[4]2019'!$AT$114/1000000</f>
        <v>4.9639100000000003</v>
      </c>
      <c r="K82" s="1026">
        <f t="shared" si="16"/>
        <v>130.97152300000002</v>
      </c>
      <c r="L82" s="1026"/>
      <c r="M82" s="1033">
        <f>[2]Results!$O84</f>
        <v>2.9040681409767868</v>
      </c>
      <c r="N82" s="1034">
        <f t="shared" si="13"/>
        <v>81.313907947350032</v>
      </c>
      <c r="O82" s="1035">
        <f t="shared" si="14"/>
        <v>0.62085181637041831</v>
      </c>
      <c r="P82" s="1028"/>
      <c r="Q82" s="1036">
        <v>170.87318599999998</v>
      </c>
      <c r="R82" s="1037">
        <f t="shared" si="15"/>
        <v>0.76648376533460338</v>
      </c>
      <c r="S82" s="1028"/>
      <c r="T82" s="1028"/>
      <c r="U82" s="1028"/>
      <c r="V82" s="1028"/>
      <c r="W82" s="1028"/>
      <c r="X82" s="1028"/>
      <c r="Y82" s="1036">
        <f>[3]Sorpa!M33</f>
        <v>2.5567121924031593</v>
      </c>
      <c r="Z82" s="1005"/>
      <c r="AA82" s="1005"/>
      <c r="AB82" s="1005"/>
      <c r="AC82" s="1005"/>
      <c r="AD82" s="1005"/>
      <c r="AE82" s="1005"/>
      <c r="AF82" s="1005"/>
      <c r="AG82" s="1005"/>
      <c r="AH82" s="1005"/>
      <c r="AI82" s="1005"/>
      <c r="AJ82" s="1005"/>
      <c r="AK82" s="1005"/>
      <c r="AL82" s="1005"/>
      <c r="AM82" s="1005"/>
      <c r="AN82" s="1005"/>
      <c r="AO82" s="1005"/>
      <c r="AP82" s="1005"/>
      <c r="AQ82" s="1005"/>
      <c r="AR82" s="1005"/>
      <c r="AS82" s="1005"/>
      <c r="AT82" s="1005"/>
      <c r="AU82" s="1005"/>
      <c r="AV82" s="1005"/>
      <c r="AW82" s="1005"/>
      <c r="AX82" s="1005"/>
      <c r="AY82" s="1005"/>
      <c r="AZ82" s="1005"/>
      <c r="BA82" s="1005"/>
      <c r="BB82" s="1005"/>
      <c r="BC82" s="1005"/>
      <c r="BD82" s="1005"/>
      <c r="BE82" s="1005"/>
      <c r="BF82" s="1005"/>
      <c r="BG82" s="1005"/>
      <c r="BH82" s="1005"/>
      <c r="BI82" s="1005"/>
      <c r="BJ82" s="1005"/>
      <c r="BK82" s="1005"/>
      <c r="BL82" s="1005"/>
      <c r="BM82" s="1005"/>
      <c r="BN82" s="1005"/>
      <c r="BO82" s="1005"/>
      <c r="BP82" s="1005"/>
      <c r="BQ82" s="1005"/>
      <c r="BR82" s="1005"/>
      <c r="BS82" s="1005"/>
      <c r="BT82" s="1005"/>
      <c r="BU82" s="1005"/>
      <c r="BV82" s="1005"/>
      <c r="BW82" s="1005"/>
      <c r="BX82" s="1005"/>
      <c r="BY82" s="1005"/>
      <c r="BZ82" s="1005"/>
      <c r="CA82" s="1005"/>
      <c r="CB82" s="1005"/>
      <c r="CC82" s="1005"/>
      <c r="CD82" s="1005"/>
      <c r="CE82" s="1005"/>
      <c r="CF82" s="1005"/>
      <c r="CG82" s="1005"/>
      <c r="CH82" s="1005"/>
      <c r="CI82" s="1005"/>
      <c r="CJ82" s="1005"/>
      <c r="CK82" s="1005"/>
      <c r="CL82" s="1005"/>
      <c r="CM82" s="1005"/>
      <c r="CN82" s="1005"/>
      <c r="CO82" s="1005"/>
      <c r="CP82" s="1005"/>
      <c r="CQ82" s="1005"/>
      <c r="CR82" s="1005"/>
      <c r="CS82" s="1005"/>
      <c r="CT82" s="1005"/>
      <c r="CU82" s="1005"/>
      <c r="CV82" s="1005"/>
      <c r="CW82" s="1005"/>
      <c r="CX82" s="1005"/>
      <c r="CY82" s="1005"/>
      <c r="CZ82" s="1005"/>
      <c r="DA82" s="1005"/>
      <c r="DB82" s="1005"/>
      <c r="DC82" s="1005"/>
      <c r="DD82" s="1005"/>
      <c r="DE82" s="1005"/>
      <c r="DF82" s="1005"/>
      <c r="DG82" s="1005"/>
      <c r="DH82" s="1005"/>
    </row>
    <row r="83" spans="1:112" ht="14.5" x14ac:dyDescent="0.7">
      <c r="A83" s="1005">
        <v>2020</v>
      </c>
      <c r="B83" s="1038">
        <f>'[4]2020'!$AJ$114/1000000</f>
        <v>39.3315366</v>
      </c>
      <c r="C83" s="1036">
        <f>'[4]2020'!$AH$114/1000000</f>
        <v>0</v>
      </c>
      <c r="D83" s="1036">
        <f>'[4]2020'!$AE$114/1000000</f>
        <v>13.599678299999999</v>
      </c>
      <c r="E83" s="1036">
        <f>'[4]2020'!$AG$114/1000000</f>
        <v>18.76165018</v>
      </c>
      <c r="F83" s="1036">
        <f>'[4]2020'!$AF$114/1000000</f>
        <v>2.8954153800000002</v>
      </c>
      <c r="G83" s="1036">
        <f>'[4]2020'!$AI$114/1000000</f>
        <v>5.3521314599999998</v>
      </c>
      <c r="H83" s="1036">
        <f>'[4]2020'!$AP$114/1000000</f>
        <v>1.07372</v>
      </c>
      <c r="I83" s="1036">
        <f>SUM('[4]2020'!$AK$114:$AM$114)/1000000</f>
        <v>21.863718079999998</v>
      </c>
      <c r="J83" s="1036">
        <f>'[4]2020'!$AT$114/1000000</f>
        <v>2.3771399999999998</v>
      </c>
      <c r="K83" s="1026">
        <f t="shared" si="16"/>
        <v>105.25498999999999</v>
      </c>
      <c r="L83" s="1026"/>
      <c r="M83" s="1033">
        <f>[2]Results!$O85</f>
        <v>3.8883354302803217</v>
      </c>
      <c r="N83" s="1034">
        <f t="shared" si="13"/>
        <v>108.87339204784901</v>
      </c>
      <c r="O83" s="1035">
        <f t="shared" si="14"/>
        <v>1.0343774869756674</v>
      </c>
      <c r="P83" s="1028"/>
      <c r="Q83" s="1036">
        <v>146.10314431232547</v>
      </c>
      <c r="R83" s="1037">
        <f t="shared" si="15"/>
        <v>0.7204156385231234</v>
      </c>
      <c r="S83" s="1028"/>
      <c r="T83" s="1028"/>
      <c r="U83" s="1028"/>
      <c r="V83" s="1028"/>
      <c r="W83" s="1028"/>
      <c r="X83" s="1028"/>
      <c r="Y83" s="1036">
        <f>[3]Sorpa!M34</f>
        <v>1.5121810081251119</v>
      </c>
    </row>
    <row r="84" spans="1:112" ht="14.5" x14ac:dyDescent="0.7">
      <c r="A84" s="1005">
        <v>2021</v>
      </c>
      <c r="B84" s="1038">
        <f>'[4]2021'!$AJ$114/1000000</f>
        <v>30.978170803865837</v>
      </c>
      <c r="C84" s="1036">
        <f>'[4]2021'!$AH$114/1000000</f>
        <v>0</v>
      </c>
      <c r="D84" s="1036">
        <f>'[4]2021'!$AE$114/1000000</f>
        <v>9.5664792677657751</v>
      </c>
      <c r="E84" s="1036">
        <f>'[4]2021'!$AG$114/1000000</f>
        <v>13.013533100625354</v>
      </c>
      <c r="F84" s="1036">
        <f>'[4]2021'!$AF$114/1000000</f>
        <v>5.2150775190449128</v>
      </c>
      <c r="G84" s="1036">
        <f>'[4]2021'!$AI$114/1000000</f>
        <v>7.326002710631041</v>
      </c>
      <c r="H84" s="1036">
        <f>'[4]2021'!$AP$114/1000000</f>
        <v>1.55999</v>
      </c>
      <c r="I84" s="1036">
        <f>SUM('[4]2021'!$AK$114:$AM$114)/1000000</f>
        <v>23.159036598067086</v>
      </c>
      <c r="J84" s="1036">
        <f>'[4]2021'!$AT$114/1000000</f>
        <v>5.4541599999999999</v>
      </c>
      <c r="K84" s="1023">
        <f t="shared" si="16"/>
        <v>96.272450000000006</v>
      </c>
      <c r="L84" s="1023"/>
      <c r="M84" s="1033">
        <f>[2]Results!$O86</f>
        <v>3.9838081055490395</v>
      </c>
      <c r="N84" s="1034">
        <f t="shared" si="13"/>
        <v>111.54662695537311</v>
      </c>
      <c r="O84" s="1035">
        <f t="shared" si="14"/>
        <v>1.1586557416516678</v>
      </c>
      <c r="P84" s="1028"/>
      <c r="Q84" s="1036">
        <v>131.372534</v>
      </c>
      <c r="R84" s="1037">
        <f t="shared" si="15"/>
        <v>0.73282022557317805</v>
      </c>
      <c r="S84" s="1028"/>
      <c r="T84" s="1028"/>
      <c r="U84" s="1028"/>
      <c r="V84" s="1028"/>
      <c r="W84" s="1028"/>
      <c r="X84" s="1028"/>
      <c r="Y84" s="1036">
        <f>[3]Sorpa!M35</f>
        <v>1.3332944568464928</v>
      </c>
    </row>
    <row r="85" spans="1:112" ht="14.5" x14ac:dyDescent="0.7">
      <c r="A85" s="1005">
        <v>2022</v>
      </c>
      <c r="B85" s="1038">
        <f>'[4]2022'!$AJ$114/1000000</f>
        <v>10.433641731174397</v>
      </c>
      <c r="C85" s="1036">
        <f>'[4]2022'!$AH$114/1000000</f>
        <v>0</v>
      </c>
      <c r="D85" s="1036">
        <f>'[4]2022'!$AE$114/1000000</f>
        <v>11.284337136803732</v>
      </c>
      <c r="E85" s="1036">
        <f>'[4]2022'!$AG$114/1000000</f>
        <v>9.5744497907345618</v>
      </c>
      <c r="F85" s="1036">
        <f>'[4]2022'!$AF$114/1000000</f>
        <v>5.9082896236062776</v>
      </c>
      <c r="G85" s="1036">
        <f>'[4]2022'!$AI$114/1000000</f>
        <v>2.3836938849040079</v>
      </c>
      <c r="H85" s="1036">
        <f>'[4]2022'!$AP$114/1000000</f>
        <v>1.82762</v>
      </c>
      <c r="I85" s="1036">
        <f>SUM('[4]2022'!$AK$114:$AM$114)/1000000</f>
        <v>24.044397832777026</v>
      </c>
      <c r="J85" s="1036">
        <f>'[4]2022'!$AT$114/1000000</f>
        <v>2.01424</v>
      </c>
      <c r="K85" s="1023">
        <f t="shared" si="16"/>
        <v>67.470669999999998</v>
      </c>
      <c r="L85" s="1023"/>
      <c r="M85" s="1033">
        <f>[2]Results!$O87</f>
        <v>3.8133464207727332</v>
      </c>
      <c r="N85" s="1042">
        <f t="shared" si="13"/>
        <v>106.77369978163654</v>
      </c>
      <c r="O85" s="1035">
        <f t="shared" si="14"/>
        <v>1.5825202237007063</v>
      </c>
      <c r="P85" s="1028"/>
      <c r="Q85" s="1036">
        <v>105.85183100000005</v>
      </c>
      <c r="R85" s="1037">
        <f t="shared" si="15"/>
        <v>0.63740673508047274</v>
      </c>
      <c r="S85" s="1028"/>
      <c r="T85" s="1028"/>
      <c r="U85" s="1028"/>
      <c r="V85" s="1028"/>
      <c r="W85" s="1028"/>
      <c r="X85" s="1028"/>
      <c r="Y85" s="1036">
        <f>[3]Sorpa!M36</f>
        <v>1.3572348807674999</v>
      </c>
    </row>
    <row r="86" spans="1:112" ht="14.5" x14ac:dyDescent="0.7">
      <c r="A86" s="1005">
        <v>2023</v>
      </c>
      <c r="B86" s="1038">
        <f>'[4]2023'!$AJ$114/1000000</f>
        <v>21.744197360000001</v>
      </c>
      <c r="C86" s="1036">
        <f>'[4]2023'!$AH$114/1000000</f>
        <v>0</v>
      </c>
      <c r="D86" s="1036">
        <f>'[4]2023'!$AE$114/1000000</f>
        <v>4.7734809599999997</v>
      </c>
      <c r="E86" s="1036">
        <f>'[4]2023'!$AG$114/1000000</f>
        <v>0.58729903999999988</v>
      </c>
      <c r="F86" s="1036">
        <f>'[4]2023'!$AF$114/1000000</f>
        <v>2.26112256</v>
      </c>
      <c r="G86" s="1036">
        <f>'[4]2023'!$AI$114/1000000</f>
        <v>5.5690611200000006</v>
      </c>
      <c r="H86" s="1036">
        <f>'[4]2023'!$AP$114/1000000</f>
        <v>1.1246499999999999</v>
      </c>
      <c r="I86" s="1036">
        <f>SUM('[4]2023'!$AK$114:$AM$114)/1000000</f>
        <v>15.427028960000001</v>
      </c>
      <c r="J86" s="1036">
        <f>'[4]2023'!$AT$114/1000000</f>
        <v>2.3543699999999999</v>
      </c>
      <c r="K86" s="1023">
        <f t="shared" si="16"/>
        <v>53.841210000000011</v>
      </c>
      <c r="L86" s="1023"/>
      <c r="M86" s="1033">
        <f>[2]Results!$O88</f>
        <v>3.3376957751393168</v>
      </c>
      <c r="N86" s="1042">
        <f t="shared" si="13"/>
        <v>93.455481703900873</v>
      </c>
      <c r="O86" s="1035">
        <f t="shared" si="14"/>
        <v>1.7357611707445069</v>
      </c>
      <c r="P86" s="1028"/>
      <c r="Q86" s="1043"/>
      <c r="R86" s="1043"/>
      <c r="S86" s="1028" t="s">
        <v>1015</v>
      </c>
      <c r="T86" s="1028"/>
      <c r="U86" s="1028"/>
      <c r="V86" s="1028"/>
      <c r="W86" s="1028"/>
      <c r="X86" s="1028"/>
      <c r="Y86" s="1036">
        <f>SUM([5]Sheet1!$R$5:$R$8)*0.717*0.95/1000000</f>
        <v>1.4822798044499998</v>
      </c>
    </row>
    <row r="87" spans="1:112" x14ac:dyDescent="0.65">
      <c r="O87" s="1005" t="s">
        <v>1016</v>
      </c>
    </row>
    <row r="88" spans="1:112" x14ac:dyDescent="0.65">
      <c r="B88" s="1044"/>
      <c r="C88" s="1044"/>
      <c r="D88" s="1044"/>
      <c r="E88" s="1044"/>
      <c r="F88" s="1044"/>
      <c r="G88" s="1044"/>
      <c r="H88" s="1044"/>
      <c r="I88" s="1044"/>
      <c r="J88" s="1044"/>
      <c r="L88" s="1044"/>
      <c r="P88" s="1005" t="s">
        <v>1017</v>
      </c>
    </row>
    <row r="89" spans="1:112" x14ac:dyDescent="0.65">
      <c r="B89" s="1044"/>
      <c r="C89" s="1044"/>
      <c r="D89" s="1044"/>
      <c r="E89" s="1044"/>
      <c r="F89" s="1044"/>
      <c r="G89" s="1044"/>
      <c r="H89" s="1044"/>
      <c r="I89" s="1044"/>
      <c r="J89" s="1044"/>
      <c r="L89" s="1044"/>
    </row>
    <row r="90" spans="1:112" x14ac:dyDescent="0.65">
      <c r="B90" s="1044"/>
      <c r="C90" s="1044"/>
      <c r="D90" s="1044"/>
      <c r="E90" s="1044"/>
      <c r="F90" s="1044"/>
      <c r="G90" s="1044"/>
      <c r="H90" s="1044"/>
      <c r="I90" s="1044"/>
      <c r="J90" s="1044"/>
      <c r="L90" s="1044"/>
    </row>
    <row r="91" spans="1:112" x14ac:dyDescent="0.65">
      <c r="B91" s="1044"/>
      <c r="C91" s="1044"/>
      <c r="D91" s="1044"/>
      <c r="E91" s="1044"/>
      <c r="F91" s="1044"/>
      <c r="G91" s="1044"/>
      <c r="H91" s="1044"/>
      <c r="I91" s="1044"/>
      <c r="J91" s="1044"/>
      <c r="L91" s="1044"/>
    </row>
    <row r="92" spans="1:112" x14ac:dyDescent="0.65">
      <c r="B92" s="1044"/>
      <c r="C92" s="1044"/>
      <c r="D92" s="1044"/>
      <c r="E92" s="1044"/>
      <c r="F92" s="1044"/>
      <c r="G92" s="1044"/>
      <c r="H92" s="1044"/>
      <c r="I92" s="1044"/>
      <c r="J92" s="1044"/>
      <c r="L92" s="1044"/>
      <c r="N92" s="1005">
        <v>1.73576117074451</v>
      </c>
    </row>
    <row r="93" spans="1:112" x14ac:dyDescent="0.65">
      <c r="B93" s="1044"/>
      <c r="C93" s="1044"/>
      <c r="D93" s="1044"/>
      <c r="E93" s="1044"/>
      <c r="F93" s="1044"/>
      <c r="G93" s="1044"/>
      <c r="H93" s="1044"/>
      <c r="I93" s="1044"/>
      <c r="J93" s="1044"/>
      <c r="L93" s="1044"/>
    </row>
    <row r="95" spans="1:112" x14ac:dyDescent="0.65">
      <c r="B95" s="1044"/>
      <c r="C95" s="1044"/>
      <c r="D95" s="1044"/>
      <c r="E95" s="1044"/>
      <c r="F95" s="1044"/>
      <c r="G95" s="1044"/>
      <c r="H95" s="1044"/>
      <c r="I95" s="1044"/>
      <c r="J95" s="1044"/>
      <c r="K95" s="1044"/>
      <c r="L95" s="1044"/>
      <c r="M95" s="1044"/>
      <c r="Y95" s="1045"/>
    </row>
    <row r="97" spans="2:3" x14ac:dyDescent="0.65">
      <c r="B97" s="1044"/>
      <c r="C97" s="1044"/>
    </row>
  </sheetData>
  <mergeCells count="23">
    <mergeCell ref="C3:K3"/>
    <mergeCell ref="O3:W3"/>
    <mergeCell ref="Z3:AH3"/>
    <mergeCell ref="C4:K4"/>
    <mergeCell ref="O4:W4"/>
    <mergeCell ref="Z4:AH4"/>
    <mergeCell ref="C5:K5"/>
    <mergeCell ref="O5:W5"/>
    <mergeCell ref="Z5:AH5"/>
    <mergeCell ref="C6:K6"/>
    <mergeCell ref="O6:W6"/>
    <mergeCell ref="Z6:AH6"/>
    <mergeCell ref="C7:K7"/>
    <mergeCell ref="O7:W7"/>
    <mergeCell ref="Z7:AH7"/>
    <mergeCell ref="C8:K8"/>
    <mergeCell ref="O8:W8"/>
    <mergeCell ref="Z8:AH8"/>
    <mergeCell ref="C9:K9"/>
    <mergeCell ref="O9:W9"/>
    <mergeCell ref="Z9:AH9"/>
    <mergeCell ref="A11:K11"/>
    <mergeCell ref="N11:W11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4DC0-298B-4B8F-9746-F3FABF852F5D}">
  <sheetPr>
    <tabColor rgb="FFFFC000"/>
  </sheetPr>
  <dimension ref="B1:Q57"/>
  <sheetViews>
    <sheetView showGridLines="0" topLeftCell="A26" workbookViewId="0">
      <selection activeCell="G43" sqref="G43"/>
    </sheetView>
    <sheetView showGridLines="0" workbookViewId="1"/>
  </sheetViews>
  <sheetFormatPr defaultColWidth="9.1328125" defaultRowHeight="13" x14ac:dyDescent="0.6"/>
  <cols>
    <col min="3" max="8" width="11.7265625" customWidth="1"/>
    <col min="10" max="10" width="10" bestFit="1" customWidth="1"/>
    <col min="14" max="14" width="9.26953125" bestFit="1" customWidth="1"/>
    <col min="15" max="19" width="9.54296875" bestFit="1" customWidth="1"/>
    <col min="27" max="27" width="10" bestFit="1" customWidth="1"/>
  </cols>
  <sheetData>
    <row r="1" spans="2:17" ht="20.5" x14ac:dyDescent="0.9">
      <c r="B1" s="42" t="s">
        <v>402</v>
      </c>
      <c r="C1" s="42"/>
    </row>
    <row r="3" spans="2:17" x14ac:dyDescent="0.6">
      <c r="B3" s="43"/>
      <c r="C3" t="s">
        <v>404</v>
      </c>
    </row>
    <row r="6" spans="2:17" x14ac:dyDescent="0.6">
      <c r="G6" s="25" t="s">
        <v>774</v>
      </c>
      <c r="H6" t="s">
        <v>773</v>
      </c>
    </row>
    <row r="7" spans="2:17" ht="18" x14ac:dyDescent="0.8">
      <c r="C7" s="44" t="s">
        <v>94</v>
      </c>
    </row>
    <row r="9" spans="2:17" x14ac:dyDescent="0.6">
      <c r="C9">
        <v>2015</v>
      </c>
      <c r="D9">
        <v>2016</v>
      </c>
      <c r="E9">
        <v>2017</v>
      </c>
      <c r="F9">
        <v>2018</v>
      </c>
      <c r="G9">
        <v>2019</v>
      </c>
      <c r="H9">
        <v>2020</v>
      </c>
      <c r="I9">
        <v>2021</v>
      </c>
      <c r="J9">
        <v>2022</v>
      </c>
      <c r="K9">
        <v>2023</v>
      </c>
    </row>
    <row r="10" spans="2:17" x14ac:dyDescent="0.6">
      <c r="B10" t="s">
        <v>649</v>
      </c>
      <c r="C10">
        <v>1119</v>
      </c>
      <c r="D10">
        <v>1137</v>
      </c>
      <c r="E10">
        <v>1060</v>
      </c>
    </row>
    <row r="11" spans="2:17" x14ac:dyDescent="0.6">
      <c r="B11" t="s">
        <v>650</v>
      </c>
      <c r="C11">
        <v>1041</v>
      </c>
      <c r="D11">
        <v>790</v>
      </c>
      <c r="E11">
        <v>775</v>
      </c>
      <c r="F11">
        <v>998</v>
      </c>
    </row>
    <row r="12" spans="2:17" x14ac:dyDescent="0.6">
      <c r="C12">
        <v>1041</v>
      </c>
      <c r="D12">
        <v>790</v>
      </c>
      <c r="E12">
        <v>775</v>
      </c>
      <c r="F12">
        <v>998</v>
      </c>
      <c r="G12">
        <v>480</v>
      </c>
      <c r="H12">
        <v>480</v>
      </c>
      <c r="M12">
        <v>1160</v>
      </c>
      <c r="N12">
        <v>139</v>
      </c>
      <c r="O12">
        <f>M12/N12</f>
        <v>8.3453237410071939</v>
      </c>
      <c r="P12">
        <f>N12/M12</f>
        <v>0.11982758620689656</v>
      </c>
      <c r="Q12">
        <f>N12*M12</f>
        <v>161240</v>
      </c>
    </row>
    <row r="13" spans="2:17" x14ac:dyDescent="0.6">
      <c r="B13" s="25" t="s">
        <v>651</v>
      </c>
      <c r="C13" s="32">
        <f>Reykjavík!C4</f>
        <v>118798</v>
      </c>
      <c r="D13" s="32">
        <f>Reykjavík!D4</f>
        <v>119266</v>
      </c>
      <c r="E13" s="32">
        <f>Reykjavík!E4</f>
        <v>120513</v>
      </c>
      <c r="F13" s="32">
        <f>Reykjavík!F4</f>
        <v>123141</v>
      </c>
      <c r="G13" s="32">
        <f>Reykjavík!G4</f>
        <v>125360</v>
      </c>
      <c r="H13" s="32">
        <f>Reykjavík!H4</f>
        <v>126549</v>
      </c>
      <c r="I13" s="32">
        <f>Reykjavík!I4</f>
        <v>128610</v>
      </c>
      <c r="J13" s="32">
        <f>Reykjavík!J4</f>
        <v>130638</v>
      </c>
      <c r="K13" s="32">
        <v>136894</v>
      </c>
      <c r="L13" s="811"/>
      <c r="M13">
        <v>1137</v>
      </c>
      <c r="N13">
        <v>143</v>
      </c>
      <c r="O13">
        <f>M13/N13</f>
        <v>7.9510489510489508</v>
      </c>
      <c r="P13">
        <f>N13/M13</f>
        <v>0.12576956904133685</v>
      </c>
      <c r="Q13">
        <f>N13*M13</f>
        <v>162591</v>
      </c>
    </row>
    <row r="14" spans="2:17" x14ac:dyDescent="0.6">
      <c r="B14" s="25" t="s">
        <v>652</v>
      </c>
      <c r="C14" s="32">
        <f>Reykjavík!C5</f>
        <v>206483</v>
      </c>
      <c r="D14" s="32">
        <f>Reykjavík!D5</f>
        <v>208598</v>
      </c>
      <c r="E14" s="32">
        <f>Reykjavík!E5</f>
        <v>212410</v>
      </c>
      <c r="F14" s="32">
        <f>Reykjavík!F5</f>
        <v>217810</v>
      </c>
      <c r="G14" s="32">
        <f>Reykjavík!G5</f>
        <v>222748</v>
      </c>
      <c r="H14" s="32">
        <f>Reykjavík!H5</f>
        <v>225936</v>
      </c>
      <c r="I14" s="32">
        <f>Reykjavík!I5</f>
        <v>229412</v>
      </c>
      <c r="J14" s="32">
        <f>Reykjavík!J5</f>
        <v>233129</v>
      </c>
      <c r="K14" s="32">
        <v>243908</v>
      </c>
      <c r="L14" s="811"/>
    </row>
    <row r="15" spans="2:17" x14ac:dyDescent="0.6">
      <c r="C15" s="32">
        <f>Reykjavík!C7</f>
        <v>323024</v>
      </c>
      <c r="D15" s="32">
        <f>Reykjavík!D7</f>
        <v>326036</v>
      </c>
      <c r="E15" s="32">
        <f>Reykjavík!E7</f>
        <v>332507</v>
      </c>
      <c r="F15" s="32">
        <f>Reykjavík!F7</f>
        <v>342183</v>
      </c>
      <c r="G15" s="32">
        <f>Reykjavík!G7</f>
        <v>349468</v>
      </c>
      <c r="H15" s="32">
        <f>Reykjavík!H7</f>
        <v>354042</v>
      </c>
      <c r="I15" s="32">
        <f>Reykjavík!I7</f>
        <v>358298</v>
      </c>
      <c r="J15" s="32">
        <f>Reykjavík!J7</f>
        <v>364917</v>
      </c>
      <c r="K15" s="32">
        <v>375218</v>
      </c>
      <c r="L15" s="811"/>
    </row>
    <row r="16" spans="2:17" x14ac:dyDescent="0.6">
      <c r="B16">
        <v>2017</v>
      </c>
      <c r="C16" s="51">
        <f t="shared" ref="C16:H16" si="0">C13/C10</f>
        <v>106.16443252904379</v>
      </c>
      <c r="D16" s="51">
        <f t="shared" si="0"/>
        <v>104.89533861037819</v>
      </c>
      <c r="E16" s="51">
        <f t="shared" si="0"/>
        <v>113.69150943396227</v>
      </c>
      <c r="F16" s="51" t="e">
        <f>F13/F10</f>
        <v>#DIV/0!</v>
      </c>
      <c r="G16" s="51" t="e">
        <f t="shared" si="0"/>
        <v>#DIV/0!</v>
      </c>
      <c r="H16" s="51" t="e">
        <f t="shared" si="0"/>
        <v>#DIV/0!</v>
      </c>
    </row>
    <row r="17" spans="2:15" x14ac:dyDescent="0.6">
      <c r="B17">
        <v>2018</v>
      </c>
      <c r="C17" s="51">
        <f t="shared" ref="C17:H17" si="1">C13/C11</f>
        <v>114.11911623439001</v>
      </c>
      <c r="D17" s="51">
        <f t="shared" si="1"/>
        <v>150.96962025316455</v>
      </c>
      <c r="E17" s="51">
        <f t="shared" si="1"/>
        <v>155.50064516129032</v>
      </c>
      <c r="F17" s="51">
        <f t="shared" si="1"/>
        <v>123.38777555110221</v>
      </c>
      <c r="G17" s="51" t="e">
        <f t="shared" si="1"/>
        <v>#DIV/0!</v>
      </c>
      <c r="H17" s="51" t="e">
        <f t="shared" si="1"/>
        <v>#DIV/0!</v>
      </c>
    </row>
    <row r="18" spans="2:15" x14ac:dyDescent="0.6">
      <c r="B18">
        <v>2019</v>
      </c>
      <c r="C18" s="93">
        <f t="shared" ref="C18:H18" si="2">C12*C13/1000000</f>
        <v>123.668718</v>
      </c>
      <c r="D18" s="93">
        <f t="shared" si="2"/>
        <v>94.220140000000001</v>
      </c>
      <c r="E18" s="93">
        <f t="shared" si="2"/>
        <v>93.397575000000003</v>
      </c>
      <c r="F18" s="93">
        <f t="shared" si="2"/>
        <v>122.894718</v>
      </c>
      <c r="G18" s="93">
        <f t="shared" si="2"/>
        <v>60.172800000000002</v>
      </c>
      <c r="H18" s="93">
        <f t="shared" si="2"/>
        <v>60.743519999999997</v>
      </c>
      <c r="N18">
        <f>K14*60/1000*365/1000</f>
        <v>5341.5852000000004</v>
      </c>
    </row>
    <row r="20" spans="2:15" x14ac:dyDescent="0.6">
      <c r="C20" s="31">
        <f>C15*60/1000*365/1000</f>
        <v>7074.2255999999998</v>
      </c>
      <c r="D20" s="31">
        <f t="shared" ref="D20:G20" si="3">D15*60/1000*365/1000</f>
        <v>7140.1884</v>
      </c>
      <c r="E20" s="31">
        <f t="shared" si="3"/>
        <v>7281.9032999999999</v>
      </c>
      <c r="F20" s="31">
        <f t="shared" si="3"/>
        <v>7493.8077000000003</v>
      </c>
      <c r="G20" s="31">
        <f t="shared" si="3"/>
        <v>7653.3492000000006</v>
      </c>
      <c r="H20" s="31">
        <f>H15*60/1000*365/1000</f>
        <v>7753.5198</v>
      </c>
      <c r="I20" s="31">
        <f>I15*60/1000*365/1000</f>
        <v>7846.7262000000001</v>
      </c>
      <c r="J20" s="31">
        <f>J15*60/1000*365/1000</f>
        <v>7991.6822999999995</v>
      </c>
      <c r="K20" s="31">
        <f>K15*60/1000*365/1000</f>
        <v>8217.2741999999998</v>
      </c>
    </row>
    <row r="21" spans="2:15" x14ac:dyDescent="0.6">
      <c r="B21" s="25" t="s">
        <v>653</v>
      </c>
      <c r="C21" s="31">
        <f>C13*60/1000*365/1000</f>
        <v>2601.6762000000003</v>
      </c>
      <c r="D21" s="31">
        <f t="shared" ref="D21:H21" si="4">D13*60/1000*365/1000</f>
        <v>2611.9254000000001</v>
      </c>
      <c r="E21" s="31">
        <f t="shared" si="4"/>
        <v>2639.2346999999995</v>
      </c>
      <c r="F21" s="31">
        <f t="shared" si="4"/>
        <v>2696.7878999999998</v>
      </c>
      <c r="G21" s="31">
        <f t="shared" si="4"/>
        <v>2745.384</v>
      </c>
      <c r="H21" s="31">
        <f t="shared" si="4"/>
        <v>2771.4230999999995</v>
      </c>
      <c r="I21" s="31">
        <f>I13*60/1000*365/1000</f>
        <v>2816.5590000000002</v>
      </c>
      <c r="J21" s="31">
        <f>J13*60/1000*365/1000</f>
        <v>2860.9721999999997</v>
      </c>
      <c r="K21" s="31">
        <f>K13*60/1000*365/1000</f>
        <v>2997.9785999999995</v>
      </c>
      <c r="M21" t="s">
        <v>654</v>
      </c>
      <c r="N21">
        <v>0.6</v>
      </c>
      <c r="O21" t="s">
        <v>655</v>
      </c>
    </row>
    <row r="22" spans="2:15" x14ac:dyDescent="0.6">
      <c r="B22" t="s">
        <v>656</v>
      </c>
      <c r="C22">
        <v>32.9</v>
      </c>
      <c r="D22">
        <v>32.9</v>
      </c>
      <c r="E22">
        <v>32.9</v>
      </c>
      <c r="F22">
        <v>32.9</v>
      </c>
      <c r="G22">
        <v>32.9</v>
      </c>
      <c r="H22">
        <v>32.9</v>
      </c>
      <c r="I22">
        <v>32.9</v>
      </c>
      <c r="J22">
        <v>32.9</v>
      </c>
      <c r="K22">
        <v>32.9</v>
      </c>
      <c r="M22" t="s">
        <v>657</v>
      </c>
      <c r="N22">
        <v>0.1</v>
      </c>
    </row>
    <row r="23" spans="2:15" x14ac:dyDescent="0.6">
      <c r="M23" t="s">
        <v>658</v>
      </c>
      <c r="N23">
        <f>N22*N21</f>
        <v>0.06</v>
      </c>
    </row>
    <row r="24" spans="2:15" x14ac:dyDescent="0.6">
      <c r="B24" t="s">
        <v>659</v>
      </c>
      <c r="C24" s="31">
        <f>C21*0.01</f>
        <v>26.016762000000003</v>
      </c>
      <c r="D24" s="31">
        <f t="shared" ref="D24:G24" si="5">D21*0.01</f>
        <v>26.119254000000002</v>
      </c>
      <c r="E24" s="31">
        <f t="shared" si="5"/>
        <v>26.392346999999997</v>
      </c>
      <c r="F24" s="31">
        <f t="shared" si="5"/>
        <v>26.967879</v>
      </c>
      <c r="G24" s="31">
        <f t="shared" si="5"/>
        <v>27.45384</v>
      </c>
      <c r="H24" s="31">
        <f>H21*0.01</f>
        <v>27.714230999999995</v>
      </c>
      <c r="I24" s="31">
        <f>I21*0.01</f>
        <v>28.165590000000002</v>
      </c>
      <c r="J24" s="31">
        <f>J21*0.01</f>
        <v>28.609721999999998</v>
      </c>
      <c r="K24" s="31">
        <f>K21*0.01</f>
        <v>29.979785999999994</v>
      </c>
    </row>
    <row r="25" spans="2:15" x14ac:dyDescent="0.6">
      <c r="B25" t="s">
        <v>282</v>
      </c>
      <c r="C25" s="31">
        <f t="shared" ref="C25:J25" si="6">(C21-C24)*$N$23</f>
        <v>154.53956628</v>
      </c>
      <c r="D25" s="31">
        <f t="shared" si="6"/>
        <v>155.14836875999998</v>
      </c>
      <c r="E25" s="31">
        <f t="shared" si="6"/>
        <v>156.77054117999998</v>
      </c>
      <c r="F25" s="31">
        <f t="shared" si="6"/>
        <v>160.18920126</v>
      </c>
      <c r="G25" s="31">
        <f>(G21-G24)*$N$23</f>
        <v>163.07580959999999</v>
      </c>
      <c r="H25" s="93">
        <f t="shared" si="6"/>
        <v>164.62253213999998</v>
      </c>
      <c r="I25" s="93">
        <f t="shared" si="6"/>
        <v>167.3036046</v>
      </c>
      <c r="J25" s="93">
        <f t="shared" si="6"/>
        <v>169.94174867999996</v>
      </c>
      <c r="K25" s="93">
        <f>(K21-K24)*$N$23</f>
        <v>178.07992883999998</v>
      </c>
    </row>
    <row r="26" spans="2:15" x14ac:dyDescent="0.6">
      <c r="B26" t="s">
        <v>660</v>
      </c>
      <c r="C26" s="31">
        <f>C25*28</f>
        <v>4327.1078558400004</v>
      </c>
      <c r="D26" s="31">
        <f t="shared" ref="D26:F26" si="7">D25*28</f>
        <v>4344.1543252799993</v>
      </c>
      <c r="E26" s="31">
        <f t="shared" si="7"/>
        <v>4389.5751530399993</v>
      </c>
      <c r="F26" s="31">
        <f t="shared" si="7"/>
        <v>4485.2976352799997</v>
      </c>
      <c r="G26" s="31">
        <f>G25*28*0</f>
        <v>0</v>
      </c>
      <c r="H26" s="31">
        <f>H25*28</f>
        <v>4609.4308999199993</v>
      </c>
      <c r="I26" s="31">
        <f>I25*28</f>
        <v>4684.5009288000001</v>
      </c>
      <c r="J26" s="952">
        <f>J25*28</f>
        <v>4758.3689630399986</v>
      </c>
      <c r="K26" s="31">
        <f>K25*28</f>
        <v>4986.2380075199999</v>
      </c>
    </row>
    <row r="32" spans="2:15" x14ac:dyDescent="0.6">
      <c r="B32" t="s">
        <v>283</v>
      </c>
      <c r="N32">
        <v>29.8</v>
      </c>
    </row>
    <row r="33" spans="2:15" x14ac:dyDescent="0.6">
      <c r="B33" t="s">
        <v>661</v>
      </c>
      <c r="C33" s="95">
        <f>C20/C34</f>
        <v>17.911079044479592</v>
      </c>
      <c r="D33" s="95">
        <f t="shared" ref="D33:H33" si="8">D20/D34</f>
        <v>18.078088833479708</v>
      </c>
      <c r="E33" s="95">
        <f t="shared" si="8"/>
        <v>18.436893728771782</v>
      </c>
      <c r="F33" s="95">
        <f t="shared" si="8"/>
        <v>18.973409903527791</v>
      </c>
      <c r="G33" s="95">
        <f t="shared" si="8"/>
        <v>19.377349582434107</v>
      </c>
      <c r="H33" s="95">
        <f t="shared" si="8"/>
        <v>19.630969361612898</v>
      </c>
      <c r="I33" s="95">
        <f>I20/I34</f>
        <v>19.866956633188089</v>
      </c>
      <c r="J33" s="95">
        <f>J20/J34</f>
        <v>20.233967852773663</v>
      </c>
      <c r="K33" s="95">
        <f>K20/K34</f>
        <v>20.805139113228567</v>
      </c>
      <c r="N33">
        <v>273</v>
      </c>
    </row>
    <row r="34" spans="2:15" x14ac:dyDescent="0.6">
      <c r="C34" s="51">
        <v>394.96367485354602</v>
      </c>
      <c r="D34" s="51">
        <v>394.96367485354602</v>
      </c>
      <c r="E34" s="51">
        <v>394.96367485354602</v>
      </c>
      <c r="F34" s="51">
        <v>394.96367485354602</v>
      </c>
      <c r="G34" s="51">
        <v>394.96367485354602</v>
      </c>
      <c r="H34" s="51">
        <v>394.96367485354602</v>
      </c>
      <c r="I34" s="51">
        <v>394.96367485354602</v>
      </c>
      <c r="J34" s="51">
        <v>394.96367485354602</v>
      </c>
      <c r="K34" s="51">
        <v>394.96367485354602</v>
      </c>
    </row>
    <row r="35" spans="2:15" x14ac:dyDescent="0.6">
      <c r="C35" s="93">
        <f>C33/C15*C13</f>
        <v>6.5871277933716579</v>
      </c>
      <c r="D35" s="93">
        <f t="shared" ref="D35:H35" si="9">D33/D15*D13</f>
        <v>6.6130775215429916</v>
      </c>
      <c r="E35" s="93">
        <f t="shared" si="9"/>
        <v>6.682221348529426</v>
      </c>
      <c r="F35" s="93">
        <f t="shared" si="9"/>
        <v>6.8279390528761388</v>
      </c>
      <c r="G35" s="93">
        <f t="shared" si="9"/>
        <v>6.9509784691414938</v>
      </c>
      <c r="H35" s="718">
        <f t="shared" si="9"/>
        <v>7.0169063041750714</v>
      </c>
      <c r="I35" s="93">
        <f>I33/I15*I13</f>
        <v>7.131184914775746</v>
      </c>
      <c r="J35" s="93">
        <f>J33/J15*J13</f>
        <v>7.2436337368515193</v>
      </c>
      <c r="K35" s="93">
        <f>K33/K15*K13</f>
        <v>7.5905172826631748</v>
      </c>
    </row>
    <row r="36" spans="2:15" x14ac:dyDescent="0.6">
      <c r="B36" t="s">
        <v>660</v>
      </c>
      <c r="C36" s="31">
        <f>C35*$N$33</f>
        <v>1798.2858875904626</v>
      </c>
      <c r="D36" s="31">
        <f t="shared" ref="D36:K36" si="10">D35*$N$33</f>
        <v>1805.3701633812368</v>
      </c>
      <c r="E36" s="31">
        <f t="shared" si="10"/>
        <v>1824.2464281485334</v>
      </c>
      <c r="F36" s="31">
        <f t="shared" si="10"/>
        <v>1864.0273614351859</v>
      </c>
      <c r="G36" s="31">
        <f t="shared" si="10"/>
        <v>1897.6171220756278</v>
      </c>
      <c r="H36" s="31">
        <f t="shared" si="10"/>
        <v>1915.6154210397945</v>
      </c>
      <c r="I36" s="31">
        <f t="shared" si="10"/>
        <v>1946.8134817337786</v>
      </c>
      <c r="J36" s="952">
        <f t="shared" si="10"/>
        <v>1977.5120101604648</v>
      </c>
      <c r="K36" s="31">
        <f t="shared" si="10"/>
        <v>2072.2112181670468</v>
      </c>
    </row>
    <row r="39" spans="2:15" x14ac:dyDescent="0.6">
      <c r="B39" t="s">
        <v>662</v>
      </c>
      <c r="C39">
        <v>1104930</v>
      </c>
      <c r="D39">
        <v>836860</v>
      </c>
      <c r="E39">
        <v>994150</v>
      </c>
      <c r="F39">
        <v>1077880</v>
      </c>
      <c r="G39">
        <v>877570</v>
      </c>
      <c r="H39">
        <v>978300</v>
      </c>
      <c r="I39">
        <f>AVERAGE(E39:H39)</f>
        <v>981975</v>
      </c>
      <c r="J39">
        <f>AVERAGE(F39:I39)</f>
        <v>978931.25</v>
      </c>
      <c r="K39">
        <f>AVERAGE(G39:J39)</f>
        <v>954194.0625</v>
      </c>
      <c r="N39">
        <v>13</v>
      </c>
      <c r="O39" t="s">
        <v>663</v>
      </c>
    </row>
    <row r="40" spans="2:15" x14ac:dyDescent="0.6">
      <c r="B40" t="s">
        <v>664</v>
      </c>
      <c r="C40">
        <v>101757</v>
      </c>
      <c r="D40">
        <v>94470</v>
      </c>
      <c r="E40">
        <v>84854</v>
      </c>
      <c r="F40">
        <v>93006</v>
      </c>
      <c r="G40">
        <v>73380</v>
      </c>
      <c r="H40" s="31">
        <f>H39*H41</f>
        <v>90049.874234420335</v>
      </c>
      <c r="I40" s="31">
        <f>I39*I41</f>
        <v>90379.051807697251</v>
      </c>
      <c r="J40" s="31">
        <f>J39*J41</f>
        <v>86017.114672999829</v>
      </c>
      <c r="K40" s="31">
        <f>K39*K41</f>
        <v>84323.471705190444</v>
      </c>
      <c r="N40">
        <v>2.5</v>
      </c>
      <c r="O40" t="s">
        <v>665</v>
      </c>
    </row>
    <row r="41" spans="2:15" x14ac:dyDescent="0.6">
      <c r="B41" t="s">
        <v>113</v>
      </c>
      <c r="C41" s="121">
        <f>C40/C39</f>
        <v>9.2093616790203905E-2</v>
      </c>
      <c r="D41" s="121">
        <f>D40/D39</f>
        <v>0.11288626532514399</v>
      </c>
      <c r="E41" s="121">
        <f>E40/E39</f>
        <v>8.5353316903887741E-2</v>
      </c>
      <c r="F41" s="121">
        <f>F40/F39</f>
        <v>8.6286042973243771E-2</v>
      </c>
      <c r="G41" s="121">
        <f>G40/G39</f>
        <v>8.3617261301092788E-2</v>
      </c>
      <c r="H41" s="121">
        <f>AVERAGE(C41:G41)</f>
        <v>9.2047300658714443E-2</v>
      </c>
      <c r="I41" s="121">
        <f t="shared" ref="I41" si="11">AVERAGE(D41:H41)</f>
        <v>9.2038037432416564E-2</v>
      </c>
      <c r="J41" s="121">
        <f>AVERAGE(E41:I41)</f>
        <v>8.7868391853871075E-2</v>
      </c>
      <c r="K41" s="121">
        <f>AVERAGE(F41:J41)</f>
        <v>8.8371406843867725E-2</v>
      </c>
    </row>
    <row r="42" spans="2:15" x14ac:dyDescent="0.6">
      <c r="B42" t="s">
        <v>666</v>
      </c>
      <c r="C42" s="31">
        <f t="shared" ref="C42:J42" si="12">C40*$N$39*$N$40/1000</f>
        <v>3307.1025</v>
      </c>
      <c r="D42" s="31">
        <f t="shared" si="12"/>
        <v>3070.2750000000001</v>
      </c>
      <c r="E42" s="31">
        <f t="shared" si="12"/>
        <v>2757.7550000000001</v>
      </c>
      <c r="F42" s="31">
        <f t="shared" si="12"/>
        <v>3022.6950000000002</v>
      </c>
      <c r="G42" s="31">
        <f t="shared" si="12"/>
        <v>2384.85</v>
      </c>
      <c r="H42" s="31">
        <f t="shared" si="12"/>
        <v>2926.6209126186609</v>
      </c>
      <c r="I42" s="31">
        <f t="shared" si="12"/>
        <v>2937.3191837501608</v>
      </c>
      <c r="J42" s="31">
        <f t="shared" si="12"/>
        <v>2795.5562268724943</v>
      </c>
      <c r="K42" s="31">
        <f>K40*$N$39*$N$40/1000</f>
        <v>2740.5128304186892</v>
      </c>
    </row>
    <row r="43" spans="2:15" x14ac:dyDescent="0.6">
      <c r="B43" t="s">
        <v>667</v>
      </c>
      <c r="C43" s="31">
        <f>C42*0.02*28</f>
        <v>1851.9774</v>
      </c>
      <c r="D43" s="31">
        <f t="shared" ref="D43:G43" si="13">D42*0.02*28</f>
        <v>1719.354</v>
      </c>
      <c r="E43" s="31">
        <f t="shared" si="13"/>
        <v>1544.3428000000001</v>
      </c>
      <c r="F43" s="31">
        <f t="shared" si="13"/>
        <v>1692.7092000000002</v>
      </c>
      <c r="G43" s="31">
        <f t="shared" si="13"/>
        <v>1335.5159999999998</v>
      </c>
      <c r="H43" s="31">
        <f>H42*0.02*28</f>
        <v>1638.9077110664502</v>
      </c>
      <c r="I43" s="31">
        <f>I42*0.02*28</f>
        <v>1644.8987429000899</v>
      </c>
      <c r="J43" s="952">
        <f>J42*0.02*28</f>
        <v>1565.5114870485968</v>
      </c>
      <c r="K43" s="31">
        <f>K42*0.02*28</f>
        <v>1534.687185034466</v>
      </c>
      <c r="L43" s="718">
        <f>J43/28</f>
        <v>55.911124537449886</v>
      </c>
    </row>
    <row r="46" spans="2:15" x14ac:dyDescent="0.6">
      <c r="I46" s="31">
        <f>SUM(I26+I36+I43)</f>
        <v>8276.2131534338696</v>
      </c>
      <c r="J46" s="31">
        <f>SUM(J26+J36+J43)</f>
        <v>8301.3924602490588</v>
      </c>
      <c r="K46" s="31">
        <f>SUM(K26+K36+K43)</f>
        <v>8593.1364107215122</v>
      </c>
    </row>
    <row r="50" spans="14:14" ht="14.75" x14ac:dyDescent="0.75">
      <c r="N50" s="921"/>
    </row>
    <row r="51" spans="14:14" ht="14.75" x14ac:dyDescent="0.75">
      <c r="N51" s="921"/>
    </row>
    <row r="52" spans="14:14" ht="14.75" x14ac:dyDescent="0.75">
      <c r="N52" s="921"/>
    </row>
    <row r="53" spans="14:14" ht="14.75" x14ac:dyDescent="0.75">
      <c r="N53" s="921"/>
    </row>
    <row r="54" spans="14:14" ht="14.75" x14ac:dyDescent="0.75">
      <c r="N54" s="921"/>
    </row>
    <row r="55" spans="14:14" ht="14.75" x14ac:dyDescent="0.75">
      <c r="N55" s="921"/>
    </row>
    <row r="56" spans="14:14" ht="14.75" x14ac:dyDescent="0.75">
      <c r="N56" s="921"/>
    </row>
    <row r="57" spans="14:14" x14ac:dyDescent="0.6">
      <c r="N57" s="3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1F1D8-DE4C-4404-974B-DB5A096E327B}">
  <sheetPr>
    <tabColor theme="7" tint="-9.9978637043366805E-2"/>
  </sheetPr>
  <dimension ref="A1:AK144"/>
  <sheetViews>
    <sheetView showGridLines="0" topLeftCell="A4" zoomScale="70" zoomScaleNormal="70" workbookViewId="0">
      <selection activeCell="S124" sqref="S124"/>
    </sheetView>
    <sheetView showGridLines="0" workbookViewId="1"/>
  </sheetViews>
  <sheetFormatPr defaultColWidth="9.1328125" defaultRowHeight="13" x14ac:dyDescent="0.6"/>
  <cols>
    <col min="1" max="1" width="18.1328125" bestFit="1" customWidth="1"/>
    <col min="2" max="2" width="18.86328125" customWidth="1"/>
    <col min="3" max="3" width="12.40625" customWidth="1"/>
    <col min="4" max="4" width="10.40625" customWidth="1"/>
    <col min="5" max="5" width="10.1328125" bestFit="1" customWidth="1"/>
    <col min="6" max="6" width="9.7265625" customWidth="1"/>
    <col min="7" max="7" width="11.40625" bestFit="1" customWidth="1"/>
    <col min="8" max="9" width="13.40625" customWidth="1"/>
    <col min="11" max="11" width="12.86328125" customWidth="1"/>
    <col min="12" max="12" width="13.26953125" customWidth="1"/>
    <col min="14" max="14" width="9.1328125" bestFit="1" customWidth="1"/>
    <col min="15" max="15" width="11.54296875" bestFit="1" customWidth="1"/>
    <col min="19" max="19" width="9.54296875" bestFit="1" customWidth="1"/>
    <col min="20" max="20" width="10.54296875" bestFit="1" customWidth="1"/>
    <col min="26" max="26" width="18.86328125" bestFit="1" customWidth="1"/>
  </cols>
  <sheetData>
    <row r="1" spans="1:27" ht="14.25" x14ac:dyDescent="0.65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27" ht="21.25" thickBot="1" x14ac:dyDescent="1.05">
      <c r="A2" s="1195" t="s">
        <v>451</v>
      </c>
      <c r="B2" s="1195"/>
      <c r="C2" s="1195"/>
      <c r="D2" s="1195"/>
      <c r="E2" s="1195"/>
      <c r="F2" s="1195"/>
      <c r="G2" s="1195"/>
      <c r="H2" s="1195"/>
      <c r="I2" s="1195"/>
      <c r="J2" s="1195"/>
      <c r="K2" s="1195"/>
      <c r="L2" s="1195"/>
      <c r="N2" s="42" t="s">
        <v>402</v>
      </c>
      <c r="O2" s="42"/>
    </row>
    <row r="3" spans="1:27" ht="25.25" x14ac:dyDescent="1.05">
      <c r="A3" s="1196"/>
      <c r="B3" s="1197"/>
      <c r="C3" s="1202" t="s">
        <v>96</v>
      </c>
      <c r="D3" s="1203"/>
      <c r="E3" s="1203"/>
      <c r="F3" s="1203"/>
      <c r="G3" s="1203"/>
      <c r="H3" s="1203"/>
      <c r="I3" s="1203"/>
      <c r="J3" s="1203"/>
      <c r="K3" s="1203"/>
      <c r="L3" s="1203"/>
    </row>
    <row r="4" spans="1:27" ht="25.25" x14ac:dyDescent="0.6">
      <c r="A4" s="1198"/>
      <c r="B4" s="1199"/>
      <c r="C4" s="862"/>
      <c r="D4" s="885"/>
      <c r="E4" s="885"/>
      <c r="F4" s="863"/>
      <c r="G4" s="310"/>
      <c r="H4" s="1205"/>
      <c r="I4" s="874"/>
      <c r="J4" s="1244" t="s">
        <v>456</v>
      </c>
      <c r="K4" s="1245"/>
      <c r="L4" s="1245"/>
      <c r="N4" s="43"/>
      <c r="O4" t="s">
        <v>404</v>
      </c>
    </row>
    <row r="5" spans="1:27" ht="25.25" x14ac:dyDescent="1.05">
      <c r="A5" s="1200"/>
      <c r="B5" s="1201"/>
      <c r="C5" s="311"/>
      <c r="D5" s="418"/>
      <c r="E5" s="418"/>
      <c r="F5" s="886"/>
      <c r="G5" s="315"/>
      <c r="H5" s="1206"/>
      <c r="I5" s="316"/>
      <c r="J5" s="317"/>
      <c r="K5" s="318"/>
      <c r="L5" s="318"/>
    </row>
    <row r="6" spans="1:27" ht="20.5" x14ac:dyDescent="0.9">
      <c r="A6" s="865"/>
      <c r="B6" s="866"/>
      <c r="C6" s="320"/>
      <c r="D6" s="321"/>
      <c r="E6" s="321">
        <v>28</v>
      </c>
      <c r="F6" s="322">
        <v>265</v>
      </c>
      <c r="G6" s="323"/>
      <c r="H6" s="1207"/>
      <c r="I6" s="316"/>
      <c r="J6" s="324"/>
      <c r="K6" s="875"/>
      <c r="L6" s="868"/>
      <c r="N6" s="42" t="s">
        <v>8</v>
      </c>
    </row>
    <row r="7" spans="1:27" ht="15" thickBot="1" x14ac:dyDescent="0.8">
      <c r="A7" s="1178" t="s">
        <v>461</v>
      </c>
      <c r="B7" s="1179"/>
      <c r="C7" s="869" t="s">
        <v>668</v>
      </c>
      <c r="D7" s="870" t="s">
        <v>669</v>
      </c>
      <c r="E7" s="1276" t="s">
        <v>670</v>
      </c>
      <c r="F7" s="1277"/>
      <c r="G7" s="379"/>
      <c r="H7" s="326" t="s">
        <v>270</v>
      </c>
      <c r="I7" s="380" t="s">
        <v>671</v>
      </c>
      <c r="J7" s="327"/>
      <c r="K7" s="393" t="s">
        <v>671</v>
      </c>
      <c r="L7" s="394" t="s">
        <v>464</v>
      </c>
      <c r="R7">
        <v>28</v>
      </c>
      <c r="T7">
        <v>265</v>
      </c>
    </row>
    <row r="8" spans="1:27" ht="15" thickBot="1" x14ac:dyDescent="0.8">
      <c r="A8" s="328"/>
      <c r="B8" s="329"/>
      <c r="C8" s="416"/>
      <c r="D8" s="417"/>
      <c r="E8" s="417" t="s">
        <v>672</v>
      </c>
      <c r="F8" s="417" t="s">
        <v>29</v>
      </c>
      <c r="G8" s="887" t="s">
        <v>464</v>
      </c>
      <c r="H8" s="330" t="s">
        <v>465</v>
      </c>
      <c r="I8" s="331"/>
      <c r="J8" s="332"/>
      <c r="K8" s="389"/>
      <c r="L8" s="395"/>
      <c r="N8" t="s">
        <v>196</v>
      </c>
      <c r="R8" s="25" t="s">
        <v>282</v>
      </c>
      <c r="T8" t="s">
        <v>283</v>
      </c>
      <c r="V8" t="s">
        <v>673</v>
      </c>
    </row>
    <row r="9" spans="1:27" ht="14.25" x14ac:dyDescent="0.65">
      <c r="A9" s="1226">
        <v>2016</v>
      </c>
      <c r="B9" t="s">
        <v>674</v>
      </c>
      <c r="C9" s="334">
        <v>378477</v>
      </c>
      <c r="D9" s="335">
        <v>247</v>
      </c>
      <c r="E9" s="335">
        <f>D9*$R$10*$E$6/1000</f>
        <v>77.09692712481332</v>
      </c>
      <c r="F9" s="335">
        <f>D9*(($S$10*$E$6+($T$10+$Y$10)*$F$6))/1000</f>
        <v>14.766627441289181</v>
      </c>
      <c r="G9" s="337">
        <f>E9+F9</f>
        <v>91.863554566102493</v>
      </c>
      <c r="H9" s="381">
        <f>G9</f>
        <v>91.863554566102493</v>
      </c>
      <c r="I9" s="381"/>
      <c r="J9" s="338"/>
      <c r="K9" s="339"/>
      <c r="L9" s="340"/>
      <c r="N9" t="s">
        <v>672</v>
      </c>
      <c r="O9" t="s">
        <v>675</v>
      </c>
      <c r="Q9" s="419" t="s">
        <v>676</v>
      </c>
      <c r="R9" t="s">
        <v>672</v>
      </c>
      <c r="S9" t="s">
        <v>29</v>
      </c>
      <c r="T9" t="s">
        <v>29</v>
      </c>
      <c r="U9" t="s">
        <v>677</v>
      </c>
      <c r="V9" t="s">
        <v>678</v>
      </c>
      <c r="W9" t="s">
        <v>679</v>
      </c>
      <c r="X9" t="s">
        <v>680</v>
      </c>
      <c r="Y9" t="s">
        <v>681</v>
      </c>
    </row>
    <row r="10" spans="1:27" ht="14.25" x14ac:dyDescent="0.65">
      <c r="A10" s="1161"/>
      <c r="B10" t="s">
        <v>682</v>
      </c>
      <c r="C10" s="342">
        <v>11949</v>
      </c>
      <c r="D10" s="343">
        <v>13</v>
      </c>
      <c r="E10" s="343">
        <f>D10*$R$11*$E$6/1000</f>
        <v>4.3479836101767999</v>
      </c>
      <c r="F10" s="343">
        <f>D10*(($S$11*$E$6+($T$11+$Y$11)*$F$6))/1000</f>
        <v>1.0120039672145935</v>
      </c>
      <c r="G10" s="345">
        <f>E10+F10</f>
        <v>5.3599875773913936</v>
      </c>
      <c r="H10" s="382">
        <f>G10+G9</f>
        <v>97.223542143493887</v>
      </c>
      <c r="I10" s="382"/>
      <c r="J10" s="338"/>
      <c r="K10" s="339"/>
      <c r="L10" s="346"/>
      <c r="N10" t="s">
        <v>29</v>
      </c>
      <c r="O10" t="s">
        <v>683</v>
      </c>
      <c r="Q10" t="s">
        <v>674</v>
      </c>
      <c r="R10" s="93">
        <v>11.14761814991517</v>
      </c>
      <c r="S10" s="93">
        <v>1.0784697573920701</v>
      </c>
      <c r="T10" s="93">
        <v>7.2979379999999996E-2</v>
      </c>
      <c r="U10" s="93">
        <v>20.166250000000002</v>
      </c>
      <c r="V10" s="213">
        <v>0.1925</v>
      </c>
      <c r="W10" s="213">
        <v>0.35749999999999998</v>
      </c>
      <c r="X10" s="213">
        <v>0.45</v>
      </c>
      <c r="Y10">
        <f t="shared" ref="Y10:Y17" si="0">U10*(0.001*44/28*V10+0.002*(W10+X10))</f>
        <v>3.8668784375000008E-2</v>
      </c>
      <c r="AA10" s="31"/>
    </row>
    <row r="11" spans="1:27" ht="14.25" x14ac:dyDescent="0.65">
      <c r="A11" s="1161"/>
      <c r="B11" t="s">
        <v>684</v>
      </c>
      <c r="C11" s="342">
        <f>86248</f>
        <v>86248</v>
      </c>
      <c r="D11" s="343">
        <f>51</f>
        <v>51</v>
      </c>
      <c r="E11" s="343">
        <f>D11*$R$12*$E$6/1000</f>
        <v>13.493470132854195</v>
      </c>
      <c r="F11" s="343">
        <f>D11*(($S$12*$E$6+($T$12+$Y$12)*$F$6))/1000</f>
        <v>2.0269685140733391</v>
      </c>
      <c r="G11" s="345">
        <f>E11+F11</f>
        <v>15.520438646927534</v>
      </c>
      <c r="H11" s="382">
        <f>G11+G10+G9</f>
        <v>112.74398079042142</v>
      </c>
      <c r="I11" s="382"/>
      <c r="J11" s="347"/>
      <c r="K11" s="339"/>
      <c r="L11" s="339"/>
      <c r="N11" t="s">
        <v>283</v>
      </c>
      <c r="O11" t="s">
        <v>685</v>
      </c>
      <c r="Q11" t="s">
        <v>682</v>
      </c>
      <c r="R11" s="93">
        <v>11.945009918068131</v>
      </c>
      <c r="S11" s="93">
        <v>1.1556129322983999</v>
      </c>
      <c r="T11" s="93">
        <v>0.11514180857179999</v>
      </c>
      <c r="U11" s="93">
        <v>29.473749999999999</v>
      </c>
      <c r="V11" s="213">
        <v>0.1925</v>
      </c>
      <c r="W11" s="213">
        <v>0.35749999999999998</v>
      </c>
      <c r="X11" s="213">
        <v>0.45</v>
      </c>
      <c r="Y11">
        <f t="shared" si="0"/>
        <v>5.6515915625000003E-2</v>
      </c>
      <c r="AA11" s="31"/>
    </row>
    <row r="12" spans="1:27" ht="14.25" x14ac:dyDescent="0.65">
      <c r="A12" s="1161"/>
      <c r="B12" t="s">
        <v>686</v>
      </c>
      <c r="C12" s="342">
        <f>86248*3</f>
        <v>258744</v>
      </c>
      <c r="D12" s="343">
        <f>51*3</f>
        <v>153</v>
      </c>
      <c r="E12" s="343">
        <f>D12*$R$13*$E$6/1000</f>
        <v>20.022430131134477</v>
      </c>
      <c r="F12" s="343">
        <f>D12*(($S$13*$E$6+($T$13+$Y$13)*$F$6))/1000</f>
        <v>0.99577373885213039</v>
      </c>
      <c r="G12" s="345">
        <f t="shared" ref="G12" si="1">E12+F12</f>
        <v>21.018203869986607</v>
      </c>
      <c r="H12" s="382">
        <f>SUM(G9:G12)</f>
        <v>133.76218466040802</v>
      </c>
      <c r="I12" s="382"/>
      <c r="J12" s="347"/>
      <c r="K12" s="339"/>
      <c r="L12" s="339"/>
      <c r="N12" t="s">
        <v>677</v>
      </c>
      <c r="O12" t="s">
        <v>685</v>
      </c>
      <c r="Q12" t="s">
        <v>684</v>
      </c>
      <c r="R12" s="93">
        <v>9.4492087765085397</v>
      </c>
      <c r="S12" s="93">
        <v>0.91415808731918002</v>
      </c>
      <c r="T12" s="93">
        <v>3.2046688928510002E-2</v>
      </c>
      <c r="U12" s="93">
        <v>11.130219</v>
      </c>
      <c r="V12" s="213">
        <v>0.1925</v>
      </c>
      <c r="W12" s="213">
        <v>0.35749999999999998</v>
      </c>
      <c r="X12" s="213">
        <v>0.45</v>
      </c>
      <c r="Y12">
        <f t="shared" si="0"/>
        <v>2.1342194932500003E-2</v>
      </c>
      <c r="AA12" s="31"/>
    </row>
    <row r="13" spans="1:27" ht="14.25" x14ac:dyDescent="0.65">
      <c r="A13" s="1161"/>
      <c r="B13" t="s">
        <v>687</v>
      </c>
      <c r="C13" s="342">
        <f>SUM(C9:C12)</f>
        <v>735418</v>
      </c>
      <c r="D13" s="343">
        <f>SUM(D9:D12)</f>
        <v>464</v>
      </c>
      <c r="E13" s="343">
        <f t="shared" ref="E13" si="2">SUM(E9:E12)</f>
        <v>114.96081099897879</v>
      </c>
      <c r="F13" s="343">
        <f t="shared" ref="F13" si="3">SUM(F9:F12)</f>
        <v>18.801373661429242</v>
      </c>
      <c r="G13" s="345">
        <f>E13+F13</f>
        <v>133.76218466040802</v>
      </c>
      <c r="H13" s="382">
        <f>G13</f>
        <v>133.76218466040802</v>
      </c>
      <c r="I13" s="382">
        <f>D13</f>
        <v>464</v>
      </c>
      <c r="J13" s="347"/>
      <c r="K13" s="339"/>
      <c r="L13" s="339"/>
      <c r="Q13" t="s">
        <v>686</v>
      </c>
      <c r="R13" s="93">
        <v>4.6737698718801299</v>
      </c>
      <c r="S13" s="93">
        <v>9.9161767965600001E-2</v>
      </c>
      <c r="T13" s="93"/>
      <c r="U13" s="93">
        <v>7.0411237499999997</v>
      </c>
      <c r="X13" s="213">
        <v>1</v>
      </c>
      <c r="Y13">
        <f t="shared" si="0"/>
        <v>1.4082247499999999E-2</v>
      </c>
      <c r="AA13" s="31"/>
    </row>
    <row r="14" spans="1:27" ht="14.25" x14ac:dyDescent="0.65">
      <c r="A14" s="1161"/>
      <c r="B14" t="s">
        <v>688</v>
      </c>
      <c r="C14" s="342">
        <v>26354</v>
      </c>
      <c r="D14" s="343">
        <v>49</v>
      </c>
      <c r="E14" s="343">
        <f>D14*$R$15*$E$6/1000</f>
        <v>149.77505914</v>
      </c>
      <c r="F14" s="343">
        <f>D14*(($S$15*$E$6+($T$15+$Y$15)*$F$6))/1000</f>
        <v>45.002651510642387</v>
      </c>
      <c r="G14" s="345">
        <f t="shared" ref="G14:G16" si="4">E14+F14</f>
        <v>194.77771065064238</v>
      </c>
      <c r="H14" s="382">
        <f>G14+G13</f>
        <v>328.53989531105037</v>
      </c>
      <c r="I14" s="382"/>
      <c r="J14" s="347"/>
      <c r="K14" s="339"/>
      <c r="L14" s="339"/>
      <c r="Q14" t="s">
        <v>687</v>
      </c>
      <c r="R14" s="93"/>
      <c r="T14" s="93"/>
      <c r="U14" s="93"/>
      <c r="Y14">
        <f t="shared" si="0"/>
        <v>0</v>
      </c>
      <c r="AA14" s="31"/>
    </row>
    <row r="15" spans="1:27" ht="14.25" x14ac:dyDescent="0.65">
      <c r="A15" s="1161"/>
      <c r="B15" t="s">
        <v>689</v>
      </c>
      <c r="C15" s="342">
        <v>17907</v>
      </c>
      <c r="D15" s="343">
        <v>16</v>
      </c>
      <c r="E15" s="343">
        <f>D15*$R$16*$E$6/1000</f>
        <v>33.042307878720003</v>
      </c>
      <c r="F15" s="343">
        <f>D15*(($S$16*$E$6+($T$16+$Y$16)*$F$6))/1000</f>
        <v>1.7767382506519038</v>
      </c>
      <c r="G15" s="345">
        <f t="shared" si="4"/>
        <v>34.819046129371905</v>
      </c>
      <c r="H15" s="382">
        <f>G15+G14+G13</f>
        <v>363.35894144042231</v>
      </c>
      <c r="I15" s="382"/>
      <c r="J15" s="347"/>
      <c r="K15" s="339"/>
      <c r="L15" s="339"/>
      <c r="Q15" t="s">
        <v>690</v>
      </c>
      <c r="R15" s="93">
        <v>109.16549500000001</v>
      </c>
      <c r="S15" s="93">
        <v>30.69296748</v>
      </c>
      <c r="T15" s="93">
        <v>5.7939999999999998E-2</v>
      </c>
      <c r="U15" s="93">
        <v>97.662642700000006</v>
      </c>
      <c r="V15" s="213">
        <v>0.73</v>
      </c>
      <c r="X15" s="213">
        <v>0.27</v>
      </c>
      <c r="Y15">
        <f t="shared" si="0"/>
        <v>0.16477083004100002</v>
      </c>
      <c r="AA15" s="31"/>
    </row>
    <row r="16" spans="1:27" ht="14.25" x14ac:dyDescent="0.65">
      <c r="A16" s="1161"/>
      <c r="B16" t="s">
        <v>691</v>
      </c>
      <c r="C16" s="342">
        <v>30783</v>
      </c>
      <c r="D16" s="343">
        <v>34</v>
      </c>
      <c r="E16" s="343">
        <f>D16*$R$17*$E$6/1000</f>
        <v>33.723869149599999</v>
      </c>
      <c r="F16" s="343">
        <f>D16*(($S$17*$E$6+($T$17+$Y$17)*$F$6))/1000</f>
        <v>9.5015769415239273</v>
      </c>
      <c r="G16" s="383">
        <f t="shared" si="4"/>
        <v>43.225446091123928</v>
      </c>
      <c r="H16" s="382">
        <f>G16+G15+G14+G13</f>
        <v>406.58438753154621</v>
      </c>
      <c r="I16" s="382"/>
      <c r="J16" s="347"/>
      <c r="K16" s="339"/>
      <c r="L16" s="339"/>
      <c r="Q16" t="s">
        <v>692</v>
      </c>
      <c r="R16" s="93">
        <v>73.755151514999994</v>
      </c>
      <c r="S16" s="93">
        <v>3.009973484848</v>
      </c>
      <c r="T16" s="93">
        <v>4.0448560000000003E-3</v>
      </c>
      <c r="U16" s="93">
        <v>60.225000000000001</v>
      </c>
      <c r="V16" s="213">
        <v>0.91</v>
      </c>
      <c r="X16" s="213">
        <v>0.09</v>
      </c>
      <c r="Y16">
        <f t="shared" si="0"/>
        <v>9.696225E-2</v>
      </c>
      <c r="AA16" s="31"/>
    </row>
    <row r="17" spans="1:29" ht="14.25" x14ac:dyDescent="0.65">
      <c r="A17" s="1161"/>
      <c r="B17" t="s">
        <v>693</v>
      </c>
      <c r="C17" s="342">
        <f>SUM(C14:C16)</f>
        <v>75044</v>
      </c>
      <c r="D17" s="343">
        <f>SUM(D14:D16)</f>
        <v>99</v>
      </c>
      <c r="E17" s="343">
        <f>SUM(E14:E16)</f>
        <v>216.54123616832001</v>
      </c>
      <c r="F17" s="343">
        <f>SUM(F14:F16)</f>
        <v>56.280966702818219</v>
      </c>
      <c r="G17" s="383">
        <f>E17+F17</f>
        <v>272.82220287113824</v>
      </c>
      <c r="H17" s="382">
        <f>G17+G13</f>
        <v>406.58438753154627</v>
      </c>
      <c r="I17" s="382">
        <f>D17+I13</f>
        <v>563</v>
      </c>
      <c r="J17" s="347"/>
      <c r="K17" s="339"/>
      <c r="L17" s="339"/>
      <c r="Q17" t="s">
        <v>691</v>
      </c>
      <c r="R17" s="93">
        <v>35.4242323</v>
      </c>
      <c r="S17" s="93">
        <v>9.3408676986426702</v>
      </c>
      <c r="T17" s="93">
        <v>2.1332018834830001E-2</v>
      </c>
      <c r="U17" s="93">
        <v>29.442900000000002</v>
      </c>
      <c r="V17" s="213">
        <v>1</v>
      </c>
      <c r="Y17">
        <f t="shared" si="0"/>
        <v>4.6267414285714285E-2</v>
      </c>
      <c r="AA17" s="31"/>
    </row>
    <row r="18" spans="1:29" ht="14.25" x14ac:dyDescent="0.65">
      <c r="A18" s="1161"/>
      <c r="B18" t="s">
        <v>694</v>
      </c>
      <c r="C18" s="342">
        <v>59</v>
      </c>
      <c r="D18" s="343">
        <v>12</v>
      </c>
      <c r="E18" s="343">
        <f>D18*$R$20*$E$6/1000</f>
        <v>0.504</v>
      </c>
      <c r="F18" s="343">
        <f>D18*(($S$20*$E$6+($T$20+$Y$19)*$F$6))/1000</f>
        <v>2.1309092999999999</v>
      </c>
      <c r="G18" s="383">
        <f>E18+F18</f>
        <v>2.6349092999999999</v>
      </c>
      <c r="H18" s="382">
        <f>H17+G18</f>
        <v>409.21929683154627</v>
      </c>
      <c r="I18" s="382"/>
      <c r="J18" s="347"/>
      <c r="K18" s="339"/>
      <c r="L18" s="339"/>
      <c r="R18" s="93"/>
      <c r="S18" s="93"/>
      <c r="T18" s="93"/>
      <c r="U18" s="93"/>
      <c r="V18" s="213"/>
      <c r="AA18" s="31"/>
    </row>
    <row r="19" spans="1:29" ht="14.25" x14ac:dyDescent="0.65">
      <c r="A19" s="1161"/>
      <c r="B19" t="s">
        <v>695</v>
      </c>
      <c r="C19" s="342">
        <v>3451</v>
      </c>
      <c r="D19" s="343">
        <v>841</v>
      </c>
      <c r="E19" s="343">
        <f>D19*$R$20*$E$6/1000</f>
        <v>35.322000000000003</v>
      </c>
      <c r="F19" s="343">
        <f>D19*(($S$20*$E$6+($T$20+$Y$20)*$F$6))/1000</f>
        <v>149.341226775</v>
      </c>
      <c r="G19" s="345">
        <f t="shared" ref="G19:G24" si="5">E19+F19</f>
        <v>184.663226775</v>
      </c>
      <c r="H19" s="382">
        <f>G19+G17+G16+G18</f>
        <v>503.3457850372622</v>
      </c>
      <c r="I19" s="382"/>
      <c r="J19" s="347"/>
      <c r="K19" s="339"/>
      <c r="L19" s="339"/>
      <c r="Q19" s="25" t="s">
        <v>694</v>
      </c>
      <c r="R19" s="93">
        <v>1.5</v>
      </c>
      <c r="S19">
        <v>6</v>
      </c>
      <c r="T19" s="93">
        <v>0</v>
      </c>
      <c r="U19" s="93">
        <v>22.995000000000001</v>
      </c>
      <c r="V19" s="213">
        <v>1</v>
      </c>
      <c r="Y19">
        <f>U19*(0.001*44/28*V19+0.002*(W19+X19))</f>
        <v>3.6135E-2</v>
      </c>
      <c r="AA19" s="31"/>
    </row>
    <row r="20" spans="1:29" ht="14.25" x14ac:dyDescent="0.65">
      <c r="A20" s="1161"/>
      <c r="B20" t="s">
        <v>696</v>
      </c>
      <c r="C20" s="342">
        <v>34506</v>
      </c>
      <c r="D20" s="343">
        <v>2130</v>
      </c>
      <c r="E20" s="343">
        <f>D20*$R$21*$E$6/1000</f>
        <v>89.46</v>
      </c>
      <c r="F20" s="343">
        <f>D20*(($S$21*$E$6+($T$21+$Y$21)*$F$6))/1000</f>
        <v>364.55959616505862</v>
      </c>
      <c r="G20" s="345">
        <f t="shared" si="5"/>
        <v>454.0195961650586</v>
      </c>
      <c r="H20" s="382">
        <f>G20+G16+G18</f>
        <v>499.8799515561825</v>
      </c>
      <c r="I20" s="382"/>
      <c r="J20" s="347"/>
      <c r="K20" s="339"/>
      <c r="L20" s="339"/>
      <c r="Q20" t="s">
        <v>695</v>
      </c>
      <c r="R20" s="93">
        <v>1.5</v>
      </c>
      <c r="S20">
        <v>6</v>
      </c>
      <c r="T20" s="93">
        <v>0</v>
      </c>
      <c r="U20" s="93">
        <v>22.995000000000001</v>
      </c>
      <c r="V20" s="213">
        <v>1</v>
      </c>
      <c r="Y20">
        <f>U20*(0.001*44/28*V20+0.002*(W20+X20))</f>
        <v>3.6135E-2</v>
      </c>
      <c r="AA20" s="31"/>
    </row>
    <row r="21" spans="1:29" ht="14.25" x14ac:dyDescent="0.65">
      <c r="A21" s="1161"/>
      <c r="B21" t="s">
        <v>697</v>
      </c>
      <c r="C21" s="342">
        <f>SUM(C18:C20)</f>
        <v>38016</v>
      </c>
      <c r="D21" s="343">
        <f>SUM(D18:D20)</f>
        <v>2983</v>
      </c>
      <c r="E21" s="343">
        <f>SUM(E18:E20)</f>
        <v>125.286</v>
      </c>
      <c r="F21" s="343">
        <f>SUM(F18:F20)</f>
        <v>516.03173224005866</v>
      </c>
      <c r="G21" s="345">
        <f t="shared" si="5"/>
        <v>641.3177322400586</v>
      </c>
      <c r="H21" s="382">
        <f>G21</f>
        <v>641.3177322400586</v>
      </c>
      <c r="I21" s="382">
        <f>D21+I17</f>
        <v>3546</v>
      </c>
      <c r="J21" s="324"/>
      <c r="K21" s="348"/>
      <c r="L21" s="348"/>
      <c r="Q21" t="s">
        <v>696</v>
      </c>
      <c r="R21" s="93">
        <v>1.5</v>
      </c>
      <c r="S21">
        <v>6.0000000733937204</v>
      </c>
      <c r="T21" s="93">
        <v>0</v>
      </c>
      <c r="U21" s="93">
        <v>7.5757000000000003</v>
      </c>
      <c r="V21" s="213">
        <v>1</v>
      </c>
      <c r="Y21">
        <f>U21*(0.001*44/28*V21+0.002*(W21+X21))</f>
        <v>1.1904671428571429E-2</v>
      </c>
      <c r="AA21" s="31"/>
    </row>
    <row r="22" spans="1:29" ht="14.25" x14ac:dyDescent="0.65">
      <c r="A22" s="1161"/>
      <c r="B22" t="s">
        <v>698</v>
      </c>
      <c r="C22" s="342">
        <v>67239</v>
      </c>
      <c r="D22" s="343">
        <v>700</v>
      </c>
      <c r="E22" s="343">
        <f>D22*$R$23*$E$6/1000</f>
        <v>352.80002811970957</v>
      </c>
      <c r="F22" s="343">
        <f>D22*(($S$23*$E$6+($T$23+$Y$23)*$F$6))/1000</f>
        <v>37.553459174503004</v>
      </c>
      <c r="G22" s="345">
        <f t="shared" si="5"/>
        <v>390.35348729421258</v>
      </c>
      <c r="H22" s="382">
        <f>G21+G22</f>
        <v>1031.6712195342711</v>
      </c>
      <c r="I22" s="382">
        <f>I21+D22</f>
        <v>4246</v>
      </c>
      <c r="J22" s="324"/>
      <c r="K22" s="348"/>
      <c r="L22" s="348"/>
      <c r="Q22" t="s">
        <v>697</v>
      </c>
      <c r="R22" s="93"/>
      <c r="T22" s="93"/>
      <c r="U22" s="93"/>
      <c r="V22" s="213"/>
      <c r="AA22" s="31"/>
    </row>
    <row r="23" spans="1:29" ht="14.25" x14ac:dyDescent="0.65">
      <c r="A23" s="1161"/>
      <c r="B23" t="s">
        <v>699</v>
      </c>
      <c r="C23" s="342">
        <v>1188</v>
      </c>
      <c r="D23" s="343">
        <v>30</v>
      </c>
      <c r="E23" s="343">
        <f>D23*$R$24*$E$6/1000</f>
        <v>4.2</v>
      </c>
      <c r="F23" s="343">
        <f>D23*(($S$24*$E$6+($T$24+$Y$24)*$F$6))/1000</f>
        <v>1.285928625882</v>
      </c>
      <c r="G23" s="345">
        <f t="shared" si="5"/>
        <v>5.4859286258819999</v>
      </c>
      <c r="H23" s="382">
        <f>SUM(G21:G23)</f>
        <v>1037.1571481601532</v>
      </c>
      <c r="I23" s="382">
        <f>D23+I22</f>
        <v>4276</v>
      </c>
      <c r="J23" s="324"/>
      <c r="K23" s="348"/>
      <c r="L23" s="348"/>
      <c r="Q23" t="s">
        <v>698</v>
      </c>
      <c r="R23" s="93">
        <v>18.00000143467906</v>
      </c>
      <c r="S23">
        <v>1.0900001434679101</v>
      </c>
      <c r="T23" s="93">
        <v>3.0389120972139999E-2</v>
      </c>
      <c r="U23" s="93">
        <v>28.442788199999999</v>
      </c>
      <c r="W23" s="213">
        <v>0.14000000000000001</v>
      </c>
      <c r="X23" s="213">
        <v>0.86</v>
      </c>
      <c r="Y23">
        <f>U23*(0.001*44/28*V23+0.002*(W23+X23))</f>
        <v>5.6885576399999999E-2</v>
      </c>
      <c r="AA23" s="31"/>
    </row>
    <row r="24" spans="1:29" ht="15" thickBot="1" x14ac:dyDescent="0.8">
      <c r="A24" s="1162"/>
      <c r="B24" t="s">
        <v>700</v>
      </c>
      <c r="C24" s="350">
        <v>1042468</v>
      </c>
      <c r="D24" s="351">
        <v>63042</v>
      </c>
      <c r="E24" s="343">
        <f>D24*$R$25*$E$6/1000</f>
        <v>35.303498817887991</v>
      </c>
      <c r="F24" s="343">
        <f>D24*(($S$25*$E$6+($T$25+$Y$25)*$F$6))/1000</f>
        <v>350.60690523249224</v>
      </c>
      <c r="G24" s="386">
        <f t="shared" si="5"/>
        <v>385.91040405038024</v>
      </c>
      <c r="H24" s="382">
        <f>SUM(G21:G24)+G17+G13</f>
        <v>1829.6519397420798</v>
      </c>
      <c r="I24" s="382">
        <f>I23+D24</f>
        <v>67318</v>
      </c>
      <c r="J24" s="324"/>
      <c r="K24" s="348"/>
      <c r="L24" s="348"/>
      <c r="Q24" t="s">
        <v>699</v>
      </c>
      <c r="R24" s="93">
        <v>5</v>
      </c>
      <c r="S24" s="93">
        <v>0.1200001148</v>
      </c>
      <c r="T24" s="93">
        <v>0.10842637099999999</v>
      </c>
      <c r="U24" s="93">
        <v>20.3232</v>
      </c>
      <c r="V24" s="213"/>
      <c r="W24" s="213">
        <v>0.55000000000000004</v>
      </c>
      <c r="X24" s="213">
        <v>0.45</v>
      </c>
      <c r="Y24">
        <f>U24*(0.001*44/28*V24+0.002*(W24+X24))</f>
        <v>4.0646399999999999E-2</v>
      </c>
      <c r="AA24" s="31"/>
    </row>
    <row r="25" spans="1:29" ht="15" thickBot="1" x14ac:dyDescent="0.8">
      <c r="A25" s="354" t="s">
        <v>3</v>
      </c>
      <c r="B25" s="355">
        <f>A9</f>
        <v>2016</v>
      </c>
      <c r="C25" s="356">
        <f>SUM(C21:C24)</f>
        <v>1148911</v>
      </c>
      <c r="D25" s="356"/>
      <c r="E25" s="387">
        <f>SUM(E21:E24)+E17+E13</f>
        <v>849.09157410489627</v>
      </c>
      <c r="F25" s="387">
        <f>SUM(F21:F24)+F17+F13</f>
        <v>980.56036563718328</v>
      </c>
      <c r="G25" s="357">
        <f>E25+F25</f>
        <v>1829.6519397420795</v>
      </c>
      <c r="H25" s="357">
        <f>H24</f>
        <v>1829.6519397420798</v>
      </c>
      <c r="I25" s="357">
        <f>SUM(I21:I24)</f>
        <v>79386</v>
      </c>
      <c r="J25" s="358"/>
      <c r="K25" s="359"/>
      <c r="L25" s="359"/>
      <c r="Q25" t="s">
        <v>701</v>
      </c>
      <c r="R25" s="93">
        <v>1.9999988E-2</v>
      </c>
      <c r="S25" s="93">
        <v>0.17817542</v>
      </c>
      <c r="T25" s="93">
        <v>8.9452384050000004E-4</v>
      </c>
      <c r="U25" s="93">
        <v>0.63305800000000001</v>
      </c>
      <c r="W25" s="213">
        <v>1</v>
      </c>
      <c r="Y25">
        <f>U25*(0.001*44/28*V25+0.002*(W25+X25))</f>
        <v>1.2661160000000001E-3</v>
      </c>
      <c r="AA25" s="31"/>
    </row>
    <row r="26" spans="1:29" ht="14.25" customHeight="1" x14ac:dyDescent="0.65">
      <c r="A26" s="1161">
        <v>2017</v>
      </c>
      <c r="B26" t="s">
        <v>674</v>
      </c>
      <c r="C26" s="334">
        <v>365765</v>
      </c>
      <c r="D26" s="335">
        <v>222</v>
      </c>
      <c r="E26" s="335">
        <f>D26*$R$10*$E$6/1000</f>
        <v>69.29359441987269</v>
      </c>
      <c r="F26" s="335">
        <f>D26*(($S$10*$E$6+($T$10+$Y$10)*$F$6))/1000</f>
        <v>13.272029522130357</v>
      </c>
      <c r="G26" s="337">
        <f>E26+F26</f>
        <v>82.565623942003043</v>
      </c>
      <c r="H26" s="381">
        <f>G26</f>
        <v>82.565623942003043</v>
      </c>
      <c r="I26" s="381"/>
      <c r="J26" s="1176" t="str">
        <f>"Milli áranna "&amp; $A9 &amp;" og "&amp; $A26</f>
        <v>Milli áranna 2016 og 2017</v>
      </c>
      <c r="K26" s="390"/>
      <c r="L26" s="361">
        <f>(G26-G9)/G9</f>
        <v>-0.10121457489878551</v>
      </c>
      <c r="Y26" s="93"/>
      <c r="Z26" s="93"/>
      <c r="AA26" s="31"/>
    </row>
    <row r="27" spans="1:29" ht="14.25" x14ac:dyDescent="0.65">
      <c r="A27" s="1161"/>
      <c r="B27" t="s">
        <v>682</v>
      </c>
      <c r="C27" s="342">
        <v>11832</v>
      </c>
      <c r="D27" s="343">
        <v>19</v>
      </c>
      <c r="E27" s="343">
        <f>D27*$R$11*$E$6/1000</f>
        <v>6.3547452764122454</v>
      </c>
      <c r="F27" s="343">
        <f>D27*(($S$11*$E$6+($T$11+$Y$11)*$F$6))/1000</f>
        <v>1.4790827213136368</v>
      </c>
      <c r="G27" s="345">
        <f>E27+F27</f>
        <v>7.8338279977258818</v>
      </c>
      <c r="H27" s="382">
        <f>G27+G26</f>
        <v>90.39945193972892</v>
      </c>
      <c r="I27" s="382"/>
      <c r="J27" s="1176"/>
      <c r="K27" s="391"/>
      <c r="L27" s="361">
        <f t="shared" ref="L27:L41" si="6">(G27-G10)/G10</f>
        <v>0.46153846153846129</v>
      </c>
    </row>
    <row r="28" spans="1:29" ht="14.25" x14ac:dyDescent="0.65">
      <c r="A28" s="1161"/>
      <c r="B28" t="s">
        <v>684</v>
      </c>
      <c r="C28" s="342">
        <f>82187</f>
        <v>82187</v>
      </c>
      <c r="D28" s="343">
        <f>67</f>
        <v>67</v>
      </c>
      <c r="E28" s="343">
        <f>D28*$R$12*$E$6/1000</f>
        <v>17.726715664730023</v>
      </c>
      <c r="F28" s="343">
        <f>D28*(($S$12*$E$6+($T$12+$Y$12)*$F$6))/1000</f>
        <v>2.6628802047630145</v>
      </c>
      <c r="G28" s="345">
        <f>E28+F28</f>
        <v>20.389595869493036</v>
      </c>
      <c r="H28" s="382">
        <f>G28+G27+G26</f>
        <v>110.78904780922196</v>
      </c>
      <c r="I28" s="382"/>
      <c r="J28" s="1176"/>
      <c r="K28" s="391"/>
      <c r="L28" s="361">
        <f t="shared" si="6"/>
        <v>0.31372549019607848</v>
      </c>
    </row>
    <row r="29" spans="1:29" ht="14.25" x14ac:dyDescent="0.65">
      <c r="A29" s="1161"/>
      <c r="B29" t="s">
        <v>686</v>
      </c>
      <c r="C29" s="342">
        <f>82187*3</f>
        <v>246561</v>
      </c>
      <c r="D29" s="343">
        <f>67*3</f>
        <v>201</v>
      </c>
      <c r="E29" s="343">
        <f>D29*$R$13*$E$6/1000</f>
        <v>26.303976838941374</v>
      </c>
      <c r="F29" s="343">
        <f>D29*(($S$13*$E$6+($T$13+$Y$13)*$F$6))/1000</f>
        <v>1.3081733431978966</v>
      </c>
      <c r="G29" s="345">
        <f t="shared" ref="G29:G41" si="7">E29+F29</f>
        <v>27.612150182139271</v>
      </c>
      <c r="H29" s="382">
        <f>SUM(G26:G29)</f>
        <v>138.40119799136122</v>
      </c>
      <c r="I29" s="382"/>
      <c r="J29" s="1176"/>
      <c r="K29" s="391"/>
      <c r="L29" s="361">
        <f t="shared" si="6"/>
        <v>0.31372549019607854</v>
      </c>
      <c r="N29" t="s">
        <v>702</v>
      </c>
      <c r="Z29" s="31"/>
    </row>
    <row r="30" spans="1:29" ht="14.25" x14ac:dyDescent="0.65">
      <c r="A30" s="1161"/>
      <c r="B30" t="s">
        <v>687</v>
      </c>
      <c r="C30" s="342">
        <f>SUM(C26:C29)</f>
        <v>706345</v>
      </c>
      <c r="D30" s="343">
        <f>SUM(D26:D29)</f>
        <v>509</v>
      </c>
      <c r="E30" s="343">
        <f t="shared" ref="E30:F30" si="8">SUM(E26:E29)</f>
        <v>119.67903219995634</v>
      </c>
      <c r="F30" s="343">
        <f t="shared" si="8"/>
        <v>18.722165791404905</v>
      </c>
      <c r="G30" s="345">
        <f>E30+F30</f>
        <v>138.40119799136124</v>
      </c>
      <c r="H30" s="382">
        <f>G30</f>
        <v>138.40119799136124</v>
      </c>
      <c r="I30" s="382">
        <f>D30</f>
        <v>509</v>
      </c>
      <c r="J30" s="1176"/>
      <c r="K30" s="391">
        <f>(D30-D13)/D13</f>
        <v>9.6982758620689655E-2</v>
      </c>
      <c r="L30" s="361">
        <f t="shared" si="6"/>
        <v>3.4681052367159119E-2</v>
      </c>
      <c r="P30" t="s">
        <v>703</v>
      </c>
      <c r="R30" t="s">
        <v>283</v>
      </c>
      <c r="S30" t="s">
        <v>677</v>
      </c>
      <c r="Z30" s="213">
        <v>0.1</v>
      </c>
    </row>
    <row r="31" spans="1:29" ht="14.25" x14ac:dyDescent="0.65">
      <c r="A31" s="1161"/>
      <c r="B31" t="s">
        <v>688</v>
      </c>
      <c r="C31" s="342">
        <v>26742</v>
      </c>
      <c r="D31" s="343">
        <v>47</v>
      </c>
      <c r="E31" s="343">
        <f>D31*$R$15*$E$6/1000</f>
        <v>143.66179141999999</v>
      </c>
      <c r="F31" s="343">
        <f>D31*(($S$15*$E$6+($T$15+$Y$15)*$F$6))/1000</f>
        <v>43.165808591840658</v>
      </c>
      <c r="G31" s="345">
        <f>E31+F31</f>
        <v>186.82760001184064</v>
      </c>
      <c r="H31" s="382">
        <f>G31+G30</f>
        <v>325.22879800320186</v>
      </c>
      <c r="I31" s="382"/>
      <c r="J31" s="1176"/>
      <c r="K31" s="391"/>
      <c r="L31" s="361">
        <f t="shared" si="6"/>
        <v>-4.0816326530612256E-2</v>
      </c>
      <c r="N31" t="s">
        <v>676</v>
      </c>
      <c r="O31" t="s">
        <v>704</v>
      </c>
      <c r="P31" t="s">
        <v>672</v>
      </c>
      <c r="Q31" t="s">
        <v>29</v>
      </c>
      <c r="R31" t="s">
        <v>29</v>
      </c>
      <c r="T31" t="s">
        <v>678</v>
      </c>
      <c r="U31" t="s">
        <v>679</v>
      </c>
      <c r="V31" t="s">
        <v>680</v>
      </c>
      <c r="AC31" t="s">
        <v>681</v>
      </c>
    </row>
    <row r="32" spans="1:29" ht="14.25" x14ac:dyDescent="0.65">
      <c r="A32" s="1161"/>
      <c r="B32" t="s">
        <v>689</v>
      </c>
      <c r="C32" s="342">
        <v>19757</v>
      </c>
      <c r="D32" s="343">
        <v>10</v>
      </c>
      <c r="E32" s="343">
        <f>D32*$R$16*$E$6/1000</f>
        <v>20.651442424199995</v>
      </c>
      <c r="F32" s="343">
        <f>D32*(($S$16*$E$6+($T$16+$Y$16)*$F$6))/1000</f>
        <v>1.1104614066574399</v>
      </c>
      <c r="G32" s="345">
        <f t="shared" si="7"/>
        <v>21.761903830857435</v>
      </c>
      <c r="H32" s="382">
        <f>G32+G31+G30</f>
        <v>346.99070183405934</v>
      </c>
      <c r="I32" s="382"/>
      <c r="J32" s="1176"/>
      <c r="K32" s="391"/>
      <c r="L32" s="361">
        <f t="shared" si="6"/>
        <v>-0.37500000000000017</v>
      </c>
      <c r="N32" t="s">
        <v>674</v>
      </c>
      <c r="O32">
        <v>91</v>
      </c>
      <c r="P32" s="51">
        <v>11.3285397553413</v>
      </c>
      <c r="Q32" s="93">
        <v>0.98551229379973004</v>
      </c>
      <c r="R32">
        <v>7.2979379999999996E-2</v>
      </c>
      <c r="S32">
        <v>20.170000000000002</v>
      </c>
      <c r="T32" s="213">
        <v>0.1925</v>
      </c>
      <c r="U32" s="213">
        <v>0.35749999999999998</v>
      </c>
      <c r="V32" s="213">
        <v>0.45</v>
      </c>
      <c r="W32" s="31">
        <f>(O32*((P32+Q32)*$Z$2+(R32)*$AB$2))/1000</f>
        <v>0</v>
      </c>
      <c r="Y32" s="93">
        <f>O32*P32*$Z$2/1000</f>
        <v>0</v>
      </c>
      <c r="Z32">
        <f>O32*((Q32*$Z$2+(R32+AC32)*$AB$2)*(U32+T32))/1000</f>
        <v>0</v>
      </c>
      <c r="AC32">
        <f t="shared" ref="AC32:AC38" si="9">S32*(0.001*44/28*T32+0.002*(U32+V32))</f>
        <v>3.8675975000000008E-2</v>
      </c>
    </row>
    <row r="33" spans="1:29" ht="14.25" x14ac:dyDescent="0.65">
      <c r="A33" s="1161"/>
      <c r="B33" t="s">
        <v>691</v>
      </c>
      <c r="C33" s="342">
        <v>31765</v>
      </c>
      <c r="D33" s="343">
        <v>42</v>
      </c>
      <c r="E33" s="343">
        <f>D33*$R$17*$E$6/1000</f>
        <v>41.658897184799997</v>
      </c>
      <c r="F33" s="343">
        <f>D33*(($S$17*$E$6+($T$17+$Y$17)*$F$6))/1000</f>
        <v>11.737242104235438</v>
      </c>
      <c r="G33" s="383">
        <f t="shared" si="7"/>
        <v>53.396139289035432</v>
      </c>
      <c r="H33" s="382">
        <f>G33+G32+G31+G30</f>
        <v>400.38684112309477</v>
      </c>
      <c r="I33" s="382"/>
      <c r="J33" s="1176"/>
      <c r="K33" s="391"/>
      <c r="L33" s="361">
        <f t="shared" si="6"/>
        <v>0.23529411764705863</v>
      </c>
      <c r="N33" t="s">
        <v>682</v>
      </c>
      <c r="O33">
        <v>5</v>
      </c>
      <c r="P33" s="51">
        <v>11.945009618499</v>
      </c>
      <c r="Q33" s="93">
        <v>1.09314132649256</v>
      </c>
      <c r="R33">
        <v>0.11514180857167</v>
      </c>
      <c r="S33">
        <v>29.47</v>
      </c>
      <c r="T33" s="213">
        <v>0.1925</v>
      </c>
      <c r="U33" s="213">
        <v>0.35749999999999998</v>
      </c>
      <c r="V33" s="213">
        <v>0.45</v>
      </c>
      <c r="W33" s="31">
        <f>(O33*((P33+Q33)*$Z$2+(R33)*$AB$2))/1000</f>
        <v>0</v>
      </c>
      <c r="Y33" s="93">
        <f>O33*P33*$Z$2/1000</f>
        <v>0</v>
      </c>
      <c r="Z33">
        <f>O33*((Q33*$Z$2+(R33+AC33)*$AB$2)*(U33+T33))/1000</f>
        <v>0</v>
      </c>
      <c r="AC33">
        <f t="shared" si="9"/>
        <v>5.6508725000000003E-2</v>
      </c>
    </row>
    <row r="34" spans="1:29" ht="14.25" x14ac:dyDescent="0.65">
      <c r="A34" s="1161"/>
      <c r="B34" t="s">
        <v>693</v>
      </c>
      <c r="C34" s="342">
        <f>SUM(C31:C33)</f>
        <v>78264</v>
      </c>
      <c r="D34" s="343">
        <f>SUM(D31:D33)</f>
        <v>99</v>
      </c>
      <c r="E34" s="343">
        <f>SUM(E31:E33)</f>
        <v>205.97213102899997</v>
      </c>
      <c r="F34" s="343">
        <f>SUM(F31:F33)</f>
        <v>56.013512102733543</v>
      </c>
      <c r="G34" s="383">
        <f>E34+F34</f>
        <v>261.98564313173353</v>
      </c>
      <c r="H34" s="382">
        <f>G34+G30</f>
        <v>400.38684112309477</v>
      </c>
      <c r="I34" s="382">
        <f>D34+I30</f>
        <v>608</v>
      </c>
      <c r="J34" s="1176"/>
      <c r="K34" s="391">
        <f>(D34-D17)/D17</f>
        <v>0</v>
      </c>
      <c r="L34" s="361">
        <f t="shared" si="6"/>
        <v>-3.9720226672765112E-2</v>
      </c>
      <c r="N34" t="s">
        <v>684</v>
      </c>
      <c r="O34">
        <v>20</v>
      </c>
      <c r="P34" s="51">
        <v>9.4000196709058201</v>
      </c>
      <c r="Q34" s="93">
        <v>0.81948295137819005</v>
      </c>
      <c r="R34">
        <v>3.2046688928570002E-2</v>
      </c>
      <c r="S34">
        <v>11.13</v>
      </c>
      <c r="T34" s="213">
        <v>0.1925</v>
      </c>
      <c r="U34" s="213">
        <v>0.35749999999999998</v>
      </c>
      <c r="V34" s="213">
        <v>0.45</v>
      </c>
      <c r="W34" s="31">
        <f>(O34*((P34+Q34)*$Z$2+(R34)*$AB$2))/1000</f>
        <v>0</v>
      </c>
      <c r="Y34" s="93">
        <f>O34*P34*$Z$2/1000</f>
        <v>0</v>
      </c>
      <c r="Z34">
        <f>O34*((Q34*$Z$2+(R34+AC34)*$AB$2)*(U34+T34))/1000</f>
        <v>0</v>
      </c>
      <c r="AC34">
        <f t="shared" si="9"/>
        <v>2.1341775000000004E-2</v>
      </c>
    </row>
    <row r="35" spans="1:29" ht="14.25" x14ac:dyDescent="0.65">
      <c r="A35" s="1161"/>
      <c r="B35" t="s">
        <v>694</v>
      </c>
      <c r="C35" s="342">
        <v>68</v>
      </c>
      <c r="D35" s="343">
        <v>13</v>
      </c>
      <c r="E35" s="343">
        <f>D35*$R$20*$E$6/1000</f>
        <v>0.54600000000000004</v>
      </c>
      <c r="F35" s="343">
        <f>D35*(($S$20*$E$6+($T$20+$Y$19)*$F$6))/1000</f>
        <v>2.3084850750000001</v>
      </c>
      <c r="G35" s="383">
        <f>E35+F35</f>
        <v>2.8544850750000004</v>
      </c>
      <c r="H35" s="382">
        <f>H34+G35</f>
        <v>403.24132619809478</v>
      </c>
      <c r="I35" s="382"/>
      <c r="J35" s="1176"/>
      <c r="K35" s="391"/>
      <c r="L35" s="361">
        <f t="shared" si="6"/>
        <v>8.3333333333333509E-2</v>
      </c>
      <c r="N35" t="s">
        <v>686</v>
      </c>
      <c r="O35">
        <v>173</v>
      </c>
      <c r="P35" s="51">
        <v>2.8365940572513599</v>
      </c>
      <c r="Q35" s="93">
        <v>5.121712047094E-2</v>
      </c>
      <c r="R35">
        <v>0</v>
      </c>
      <c r="S35">
        <v>6.52</v>
      </c>
      <c r="V35" s="213">
        <v>1</v>
      </c>
      <c r="W35" s="31">
        <f>(O35*((P35+Q35)*$Z$2+(R35)*$AB$2))/1000</f>
        <v>0</v>
      </c>
      <c r="Y35" s="93">
        <f>O35*P35*$Z$2/1000</f>
        <v>0</v>
      </c>
      <c r="Z35">
        <f>O35*((Q35*$Z$2+(R35+AC35)*$AB$2)*(U35+T35))/1000</f>
        <v>0</v>
      </c>
      <c r="AC35">
        <f t="shared" si="9"/>
        <v>1.304E-2</v>
      </c>
    </row>
    <row r="36" spans="1:29" ht="14.25" x14ac:dyDescent="0.65">
      <c r="A36" s="1161"/>
      <c r="B36" t="s">
        <v>695</v>
      </c>
      <c r="C36" s="342">
        <v>3508</v>
      </c>
      <c r="D36" s="343">
        <v>815</v>
      </c>
      <c r="E36" s="343">
        <f>D36*$R$20*$E$6/1000</f>
        <v>34.229999999999997</v>
      </c>
      <c r="F36" s="343">
        <f>D36*(($S$20*$E$6+($T$20+$Y$20)*$F$6))/1000</f>
        <v>144.72425662499998</v>
      </c>
      <c r="G36" s="345">
        <f t="shared" si="7"/>
        <v>178.95425662499997</v>
      </c>
      <c r="H36" s="382">
        <f>G36+G34+G33+G35</f>
        <v>497.19052412076894</v>
      </c>
      <c r="I36" s="382"/>
      <c r="J36" s="1176"/>
      <c r="K36" s="391"/>
      <c r="L36" s="361">
        <f t="shared" si="6"/>
        <v>-3.0915576694411563E-2</v>
      </c>
      <c r="N36" t="s">
        <v>687</v>
      </c>
      <c r="O36">
        <v>289</v>
      </c>
      <c r="P36" s="51"/>
      <c r="W36" s="31">
        <f>SUM(W32:W35)</f>
        <v>0</v>
      </c>
      <c r="Y36" s="93">
        <f>SUM(Y32:Y35)</f>
        <v>0</v>
      </c>
      <c r="Z36" s="93">
        <f>SUM(Z32:Z35)</f>
        <v>0</v>
      </c>
      <c r="AA36" s="93">
        <f>SUM(Y36:Z36)</f>
        <v>0</v>
      </c>
      <c r="AC36">
        <f t="shared" si="9"/>
        <v>0</v>
      </c>
    </row>
    <row r="37" spans="1:29" ht="14.25" x14ac:dyDescent="0.65">
      <c r="A37" s="1161"/>
      <c r="B37" t="s">
        <v>696</v>
      </c>
      <c r="C37" s="342">
        <v>36949</v>
      </c>
      <c r="D37" s="343">
        <v>4026</v>
      </c>
      <c r="E37" s="343">
        <f>D37*$R$21*$E$6/1000</f>
        <v>169.09200000000001</v>
      </c>
      <c r="F37" s="343">
        <f>D37*(($S$21*$E$6+($T$21+$Y$21)*$F$6))/1000</f>
        <v>689.06898317395576</v>
      </c>
      <c r="G37" s="345">
        <f t="shared" si="7"/>
        <v>858.16098317395574</v>
      </c>
      <c r="H37" s="382">
        <f>G37+G33+G35</f>
        <v>914.41160753799113</v>
      </c>
      <c r="I37" s="382"/>
      <c r="J37" s="1176"/>
      <c r="K37" s="391"/>
      <c r="L37" s="361">
        <f t="shared" si="6"/>
        <v>0.89014084507042235</v>
      </c>
      <c r="P37" s="51"/>
      <c r="W37" s="31"/>
      <c r="Y37" s="93"/>
      <c r="Z37" s="93"/>
      <c r="AA37" s="93"/>
    </row>
    <row r="38" spans="1:29" ht="14.25" x14ac:dyDescent="0.65">
      <c r="A38" s="1161"/>
      <c r="B38" t="s">
        <v>697</v>
      </c>
      <c r="C38" s="342">
        <f>SUM(C35:C37)</f>
        <v>40525</v>
      </c>
      <c r="D38" s="343">
        <f>SUM(D35:D37)</f>
        <v>4854</v>
      </c>
      <c r="E38" s="343">
        <f>SUM(E35:E37)</f>
        <v>203.86799999999999</v>
      </c>
      <c r="F38" s="343">
        <f>SUM(F35:F37)</f>
        <v>836.10172487395573</v>
      </c>
      <c r="G38" s="345">
        <f t="shared" si="7"/>
        <v>1039.9697248739558</v>
      </c>
      <c r="H38" s="382">
        <f>G38</f>
        <v>1039.9697248739558</v>
      </c>
      <c r="I38" s="382">
        <f>D38+I34</f>
        <v>5462</v>
      </c>
      <c r="J38" s="1176"/>
      <c r="K38" s="391">
        <f>(D38-D21)/D21</f>
        <v>0.62722091853838413</v>
      </c>
      <c r="L38" s="361">
        <f t="shared" si="6"/>
        <v>0.62161386251000061</v>
      </c>
      <c r="N38" t="s">
        <v>698</v>
      </c>
      <c r="O38">
        <v>861</v>
      </c>
      <c r="P38" s="51">
        <v>17.999998250185701</v>
      </c>
      <c r="Q38">
        <v>1.08999983348348</v>
      </c>
      <c r="R38">
        <v>3.0435187224019999E-2</v>
      </c>
      <c r="S38">
        <v>28.48</v>
      </c>
      <c r="U38" s="213">
        <v>0.14000000000000001</v>
      </c>
      <c r="V38" s="213">
        <v>0.86</v>
      </c>
      <c r="W38" s="31">
        <f>(O38*((P38+Q38)*28+(R38)*265))/1000</f>
        <v>467.16591829406514</v>
      </c>
      <c r="Y38" s="93">
        <f>O38*P38*$Z$2/1000</f>
        <v>0</v>
      </c>
      <c r="Z38">
        <f>O38*((Q38*$Z$2+(R38+AC38)*$AB$2)*(U38+T38))/1000</f>
        <v>0</v>
      </c>
      <c r="AA38" s="93">
        <f>SUM(Y38:Z38)</f>
        <v>0</v>
      </c>
      <c r="AC38">
        <f t="shared" si="9"/>
        <v>5.6960000000000004E-2</v>
      </c>
    </row>
    <row r="39" spans="1:29" ht="14.25" x14ac:dyDescent="0.65">
      <c r="A39" s="1161"/>
      <c r="B39" t="s">
        <v>698</v>
      </c>
      <c r="C39" s="342">
        <v>64816</v>
      </c>
      <c r="D39" s="343">
        <v>687</v>
      </c>
      <c r="E39" s="343">
        <f>D39*$R$23*$E$6/1000</f>
        <v>346.24802759748638</v>
      </c>
      <c r="F39" s="343">
        <f>D39*(($S$23*$E$6+($T$23+$Y$23)*$F$6))/1000</f>
        <v>36.856037789833657</v>
      </c>
      <c r="G39" s="345">
        <f t="shared" si="7"/>
        <v>383.10406538732002</v>
      </c>
      <c r="H39" s="382">
        <f>G38+G39</f>
        <v>1423.0737902612759</v>
      </c>
      <c r="I39" s="382">
        <f>I38+D39</f>
        <v>6149</v>
      </c>
      <c r="J39" s="1176"/>
      <c r="K39" s="391">
        <f>(D39-D22)/D22</f>
        <v>-1.8571428571428572E-2</v>
      </c>
      <c r="L39" s="361">
        <f t="shared" si="6"/>
        <v>-1.8571428571428687E-2</v>
      </c>
      <c r="P39" s="51"/>
      <c r="U39" s="213"/>
      <c r="V39" s="213"/>
      <c r="W39" s="31"/>
      <c r="Y39" s="93"/>
      <c r="AA39" s="93"/>
    </row>
    <row r="40" spans="1:29" ht="14.25" x14ac:dyDescent="0.65">
      <c r="A40" s="1161"/>
      <c r="B40" t="s">
        <v>699</v>
      </c>
      <c r="C40" s="342">
        <v>1300</v>
      </c>
      <c r="D40" s="343">
        <v>30</v>
      </c>
      <c r="E40" s="343">
        <f>D40*$R$24*$E$6/1000</f>
        <v>4.2</v>
      </c>
      <c r="F40" s="343">
        <f>D40*(($S$24*$E$6+($T$24+$Y$24)*$F$6))/1000</f>
        <v>1.285928625882</v>
      </c>
      <c r="G40" s="345">
        <f t="shared" si="7"/>
        <v>5.4859286258819999</v>
      </c>
      <c r="H40" s="382">
        <f>SUM(G38:G40)</f>
        <v>1428.5597188871579</v>
      </c>
      <c r="I40" s="382">
        <f>D40+I39</f>
        <v>6179</v>
      </c>
      <c r="J40" s="1176"/>
      <c r="K40" s="391">
        <f>(D40-D23)/D23</f>
        <v>0</v>
      </c>
      <c r="L40" s="361">
        <f t="shared" si="6"/>
        <v>0</v>
      </c>
      <c r="Y40">
        <f>O32*((31.37+6.92)*28+241.39*265)/1000</f>
        <v>5918.6827700000003</v>
      </c>
    </row>
    <row r="41" spans="1:29" ht="15" thickBot="1" x14ac:dyDescent="0.8">
      <c r="A41" s="1175"/>
      <c r="B41" t="s">
        <v>701</v>
      </c>
      <c r="C41" s="350">
        <v>910282</v>
      </c>
      <c r="D41" s="351">
        <v>68038</v>
      </c>
      <c r="E41" s="343">
        <f>D41*$R$25*$E$6/1000</f>
        <v>38.101257139232004</v>
      </c>
      <c r="F41" s="343">
        <f>D41*(($S$25*$E$6+($T$25+$Y$25)*$F$6))/1000</f>
        <v>378.39206589588383</v>
      </c>
      <c r="G41" s="386">
        <f t="shared" si="7"/>
        <v>416.49332303511585</v>
      </c>
      <c r="H41" s="382">
        <f>SUM(G38:G41)+G34+G30</f>
        <v>2245.4398830453683</v>
      </c>
      <c r="I41" s="382">
        <f>I40+D41</f>
        <v>74217</v>
      </c>
      <c r="J41" s="1176"/>
      <c r="K41" s="391">
        <f>(D41-D24)/D24</f>
        <v>7.9248754798388374E-2</v>
      </c>
      <c r="L41" s="361">
        <f t="shared" si="6"/>
        <v>7.9248754798388499E-2</v>
      </c>
    </row>
    <row r="42" spans="1:29" ht="15" thickBot="1" x14ac:dyDescent="0.75">
      <c r="A42" s="354" t="s">
        <v>3</v>
      </c>
      <c r="B42" s="355">
        <f>A26</f>
        <v>2017</v>
      </c>
      <c r="C42" s="356">
        <f>SUM(C38:C41)</f>
        <v>1016923</v>
      </c>
      <c r="D42" s="356"/>
      <c r="E42" s="387">
        <f>SUM(E38:E41)+E34+E30</f>
        <v>918.06844796567475</v>
      </c>
      <c r="F42" s="387">
        <f>SUM(F38:F41)+F34+F30</f>
        <v>1327.3714350796936</v>
      </c>
      <c r="G42" s="357">
        <f>E42+F42</f>
        <v>2245.4398830453683</v>
      </c>
      <c r="H42" s="357">
        <f>H41</f>
        <v>2245.4398830453683</v>
      </c>
      <c r="I42" s="357">
        <f>SUM(I38:I41)</f>
        <v>92007</v>
      </c>
      <c r="J42" s="1177"/>
      <c r="K42" s="372">
        <f>(I42-I25)/I25</f>
        <v>0.15898269216234601</v>
      </c>
      <c r="L42" s="373">
        <f>(G42-G25)/G25</f>
        <v>0.227249748584368</v>
      </c>
      <c r="N42" t="s">
        <v>705</v>
      </c>
      <c r="R42" t="s">
        <v>706</v>
      </c>
      <c r="U42" t="s">
        <v>707</v>
      </c>
      <c r="W42" t="s">
        <v>708</v>
      </c>
    </row>
    <row r="43" spans="1:29" ht="14.25" customHeight="1" x14ac:dyDescent="0.65">
      <c r="A43" s="1161">
        <v>2018</v>
      </c>
      <c r="B43" t="s">
        <v>674</v>
      </c>
      <c r="C43" s="334">
        <v>345103</v>
      </c>
      <c r="D43" s="335">
        <v>158</v>
      </c>
      <c r="E43" s="335">
        <f>D43*$R$10*$E$6/1000</f>
        <v>49.317062695224713</v>
      </c>
      <c r="F43" s="335">
        <f>D43*(($S$10*$E$6+($T$10+$Y$10)*$F$6))/1000</f>
        <v>9.445858849083768</v>
      </c>
      <c r="G43" s="337">
        <f>E43+F43</f>
        <v>58.762921544308483</v>
      </c>
      <c r="H43" s="381">
        <f>G43</f>
        <v>58.762921544308483</v>
      </c>
      <c r="I43" s="381"/>
      <c r="J43" s="1176" t="str">
        <f>"Milli áranna "&amp; $A26 &amp;" og "&amp; $A43</f>
        <v>Milli áranna 2017 og 2018</v>
      </c>
      <c r="K43" s="390"/>
      <c r="L43" s="361">
        <f>(G43-G26)/G26</f>
        <v>-0.28828828828828817</v>
      </c>
      <c r="N43" t="s">
        <v>674</v>
      </c>
      <c r="O43">
        <v>344795</v>
      </c>
      <c r="P43" s="123">
        <f>O43/$O$47</f>
        <v>0.52383817298153024</v>
      </c>
      <c r="R43" t="s">
        <v>690</v>
      </c>
      <c r="S43">
        <v>26477</v>
      </c>
      <c r="T43" s="123">
        <f>S43/$S$46</f>
        <v>0.32458043715445062</v>
      </c>
      <c r="W43" t="s">
        <v>695</v>
      </c>
      <c r="X43">
        <v>3323</v>
      </c>
      <c r="Y43" s="123">
        <f>X43/X45</f>
        <v>8.2501613784199818E-2</v>
      </c>
    </row>
    <row r="44" spans="1:29" ht="14.25" x14ac:dyDescent="0.65">
      <c r="A44" s="1161"/>
      <c r="B44" t="s">
        <v>682</v>
      </c>
      <c r="C44" s="342">
        <v>11617</v>
      </c>
      <c r="D44" s="343">
        <v>16</v>
      </c>
      <c r="E44" s="343">
        <f>D44*$R$11*$E$6/1000</f>
        <v>5.3513644432945222</v>
      </c>
      <c r="F44" s="343">
        <f>D44*(($S$11*$E$6+($T$11+$Y$11)*$F$6))/1000</f>
        <v>1.2455433442641151</v>
      </c>
      <c r="G44" s="345">
        <f>E44+F44</f>
        <v>6.5969077875586368</v>
      </c>
      <c r="H44" s="382">
        <f>G44+G43</f>
        <v>65.359829331867118</v>
      </c>
      <c r="I44" s="382"/>
      <c r="J44" s="1176"/>
      <c r="K44" s="391"/>
      <c r="L44" s="361">
        <f t="shared" ref="L44:L58" si="10">(G44-G27)/G27</f>
        <v>-0.15789473684210531</v>
      </c>
      <c r="N44" t="s">
        <v>682</v>
      </c>
      <c r="O44">
        <v>11595</v>
      </c>
      <c r="P44" s="123">
        <f>O44/$O$47</f>
        <v>1.7615985196191484E-2</v>
      </c>
      <c r="R44" t="s">
        <v>692</v>
      </c>
      <c r="S44">
        <v>2640</v>
      </c>
      <c r="T44" s="123">
        <f>S44/$S$46</f>
        <v>3.2363649737045343E-2</v>
      </c>
      <c r="U44" s="123">
        <f>S44/U46</f>
        <v>4.7916364164367647E-2</v>
      </c>
      <c r="W44" t="s">
        <v>696</v>
      </c>
      <c r="X44">
        <v>36955</v>
      </c>
      <c r="Y44" s="123">
        <f>X44/X45</f>
        <v>0.91749838621580015</v>
      </c>
    </row>
    <row r="45" spans="1:29" ht="14.25" x14ac:dyDescent="0.65">
      <c r="A45" s="1161"/>
      <c r="B45" t="s">
        <v>684</v>
      </c>
      <c r="C45" s="342">
        <f>76272</f>
        <v>76272</v>
      </c>
      <c r="D45" s="343">
        <f>57</f>
        <v>57</v>
      </c>
      <c r="E45" s="343">
        <f>D45*$R$12*$E$6/1000</f>
        <v>15.080937207307628</v>
      </c>
      <c r="F45" s="343">
        <f>D45*(($S$12*$E$6+($T$12+$Y$12)*$F$6))/1000</f>
        <v>2.2654353980819675</v>
      </c>
      <c r="G45" s="345">
        <f>E45+F45</f>
        <v>17.346372605389597</v>
      </c>
      <c r="H45" s="382">
        <f>G45+G44+G43</f>
        <v>82.706201937256708</v>
      </c>
      <c r="I45" s="382"/>
      <c r="J45" s="1176"/>
      <c r="K45" s="391"/>
      <c r="L45" s="361">
        <f t="shared" si="10"/>
        <v>-0.14925373134328362</v>
      </c>
      <c r="N45" t="s">
        <v>684</v>
      </c>
      <c r="O45">
        <v>76249</v>
      </c>
      <c r="P45" s="123">
        <f>O45/$O$47</f>
        <v>0.11584314404695165</v>
      </c>
      <c r="R45" t="s">
        <v>691</v>
      </c>
      <c r="S45">
        <v>52456</v>
      </c>
      <c r="T45" s="123">
        <f>S45/$S$46</f>
        <v>0.64305591310850407</v>
      </c>
      <c r="U45" s="123">
        <f>S45/U46</f>
        <v>0.95208363583563238</v>
      </c>
      <c r="X45">
        <f>X43+X44</f>
        <v>40278</v>
      </c>
    </row>
    <row r="46" spans="1:29" ht="14.25" x14ac:dyDescent="0.65">
      <c r="A46" s="1161"/>
      <c r="B46" t="s">
        <v>686</v>
      </c>
      <c r="C46" s="342">
        <f>76272*3</f>
        <v>228816</v>
      </c>
      <c r="D46" s="343">
        <f>57*3</f>
        <v>171</v>
      </c>
      <c r="E46" s="343">
        <f>D46*$R$13*$E$6/1000</f>
        <v>22.378010146562062</v>
      </c>
      <c r="F46" s="343">
        <f>D46*(($S$13*$E$6+($T$13+$Y$13)*$F$6))/1000</f>
        <v>1.1129235904817927</v>
      </c>
      <c r="G46" s="345">
        <f t="shared" ref="G46" si="11">E46+F46</f>
        <v>23.490933737043854</v>
      </c>
      <c r="H46" s="382">
        <f>SUM(G43:G46)</f>
        <v>106.19713567430057</v>
      </c>
      <c r="I46" s="382"/>
      <c r="J46" s="1176"/>
      <c r="K46" s="391"/>
      <c r="L46" s="361">
        <f t="shared" si="10"/>
        <v>-0.14925373134328371</v>
      </c>
      <c r="N46" t="s">
        <v>686</v>
      </c>
      <c r="O46">
        <v>225570</v>
      </c>
      <c r="P46" s="123">
        <f>O46/$O$47</f>
        <v>0.34270269777532669</v>
      </c>
      <c r="S46">
        <f>SUM(S43:S45)</f>
        <v>81573</v>
      </c>
      <c r="U46">
        <f>S44+S45</f>
        <v>55096</v>
      </c>
    </row>
    <row r="47" spans="1:29" ht="14.25" x14ac:dyDescent="0.65">
      <c r="A47" s="1161"/>
      <c r="B47" t="s">
        <v>687</v>
      </c>
      <c r="C47" s="342">
        <f>SUM(C43:C46)</f>
        <v>661808</v>
      </c>
      <c r="D47" s="343">
        <f>SUM(D43:D46)</f>
        <v>402</v>
      </c>
      <c r="E47" s="343">
        <f t="shared" ref="E47" si="12">SUM(E43:E46)</f>
        <v>92.127374492388924</v>
      </c>
      <c r="F47" s="343">
        <f t="shared" ref="F47" si="13">SUM(F43:F46)</f>
        <v>14.069761181911645</v>
      </c>
      <c r="G47" s="345">
        <f>E47+F47</f>
        <v>106.19713567430057</v>
      </c>
      <c r="H47" s="382">
        <f>G47</f>
        <v>106.19713567430057</v>
      </c>
      <c r="I47" s="382">
        <f>D47</f>
        <v>402</v>
      </c>
      <c r="J47" s="1176"/>
      <c r="K47" s="391">
        <f>(D47-D30)/D30</f>
        <v>-0.21021611001964635</v>
      </c>
      <c r="L47" s="361">
        <f t="shared" si="10"/>
        <v>-0.23268629740524929</v>
      </c>
      <c r="N47" t="s">
        <v>687</v>
      </c>
      <c r="O47">
        <f>SUM(O43:O46)</f>
        <v>658209</v>
      </c>
    </row>
    <row r="48" spans="1:29" ht="14.25" x14ac:dyDescent="0.65">
      <c r="A48" s="1161"/>
      <c r="B48" t="s">
        <v>688</v>
      </c>
      <c r="C48" s="342">
        <v>26477</v>
      </c>
      <c r="D48" s="343">
        <v>50</v>
      </c>
      <c r="E48" s="343">
        <f>D48*$R$15*$E$6/1000</f>
        <v>152.83169300000003</v>
      </c>
      <c r="F48" s="343">
        <f>D48*(($S$15*$E$6+($T$15+$Y$15)*$F$6))/1000</f>
        <v>45.921072970043248</v>
      </c>
      <c r="G48" s="345">
        <f t="shared" ref="G48:G50" si="14">E48+F48</f>
        <v>198.75276597004327</v>
      </c>
      <c r="H48" s="382">
        <f>G48+G47</f>
        <v>304.94990164434387</v>
      </c>
      <c r="I48" s="382"/>
      <c r="J48" s="1176"/>
      <c r="K48" s="391"/>
      <c r="L48" s="361">
        <f t="shared" si="10"/>
        <v>6.3829787234042729E-2</v>
      </c>
    </row>
    <row r="49" spans="1:37" ht="14.25" x14ac:dyDescent="0.65">
      <c r="A49" s="1161"/>
      <c r="B49" t="s">
        <v>689</v>
      </c>
      <c r="C49" s="342">
        <v>22908</v>
      </c>
      <c r="D49" s="343">
        <v>21</v>
      </c>
      <c r="E49" s="343">
        <f>D49*$R$16*$E$6/1000</f>
        <v>43.368029090819995</v>
      </c>
      <c r="F49" s="343">
        <f>D49*(($S$16*$E$6+($T$16+$Y$16)*$F$6))/1000</f>
        <v>2.3319689539806236</v>
      </c>
      <c r="G49" s="345">
        <f t="shared" si="14"/>
        <v>45.699998044800616</v>
      </c>
      <c r="H49" s="382">
        <f>G49+G48+G47</f>
        <v>350.64989968914449</v>
      </c>
      <c r="I49" s="382"/>
      <c r="J49" s="1176"/>
      <c r="K49" s="391"/>
      <c r="L49" s="361">
        <f t="shared" si="10"/>
        <v>1.1000000000000001</v>
      </c>
      <c r="P49">
        <f>O46/(O45+O46)</f>
        <v>0.74736845592888457</v>
      </c>
    </row>
    <row r="50" spans="1:37" ht="14.25" x14ac:dyDescent="0.65">
      <c r="A50" s="1161"/>
      <c r="B50" t="s">
        <v>691</v>
      </c>
      <c r="C50" s="342">
        <v>31691</v>
      </c>
      <c r="D50" s="343">
        <v>32</v>
      </c>
      <c r="E50" s="343">
        <f>D50*$R$17*$E$6/1000</f>
        <v>31.740112140800001</v>
      </c>
      <c r="F50" s="343">
        <f>D50*(($S$17*$E$6+($T$17+$Y$17)*$F$6))/1000</f>
        <v>8.9426606508460473</v>
      </c>
      <c r="G50" s="383">
        <f t="shared" si="14"/>
        <v>40.682772791646045</v>
      </c>
      <c r="H50" s="382">
        <f>G50+G49+G48+G47</f>
        <v>391.33267248079051</v>
      </c>
      <c r="I50" s="382"/>
      <c r="J50" s="1176"/>
      <c r="K50" s="391"/>
      <c r="L50" s="361">
        <f t="shared" si="10"/>
        <v>-0.23809523809523808</v>
      </c>
      <c r="P50">
        <f>O45/(O45+O46)</f>
        <v>0.25263154407111549</v>
      </c>
    </row>
    <row r="51" spans="1:37" ht="14.25" x14ac:dyDescent="0.65">
      <c r="A51" s="1161"/>
      <c r="B51" t="s">
        <v>693</v>
      </c>
      <c r="C51" s="342">
        <f>SUM(C48:C50)</f>
        <v>81076</v>
      </c>
      <c r="D51" s="343">
        <f>SUM(D48:D50)</f>
        <v>103</v>
      </c>
      <c r="E51" s="343">
        <f>SUM(E48:E50)</f>
        <v>227.93983423162001</v>
      </c>
      <c r="F51" s="343">
        <f>SUM(F48:F50)</f>
        <v>57.195702574869912</v>
      </c>
      <c r="G51" s="383">
        <f>E51+F51</f>
        <v>285.13553680648994</v>
      </c>
      <c r="H51" s="382">
        <f>G51+G47</f>
        <v>391.33267248079051</v>
      </c>
      <c r="I51" s="382">
        <f>D51+I47</f>
        <v>505</v>
      </c>
      <c r="J51" s="1176"/>
      <c r="K51" s="391">
        <f>(D51-D34)/D34</f>
        <v>4.0404040404040407E-2</v>
      </c>
      <c r="L51" s="361">
        <f t="shared" si="10"/>
        <v>8.836321486180071E-2</v>
      </c>
      <c r="N51" t="s">
        <v>709</v>
      </c>
      <c r="W51" t="s">
        <v>710</v>
      </c>
      <c r="X51" t="s">
        <v>711</v>
      </c>
      <c r="Y51" t="s">
        <v>712</v>
      </c>
      <c r="Z51" t="s">
        <v>713</v>
      </c>
    </row>
    <row r="52" spans="1:37" ht="14.25" x14ac:dyDescent="0.65">
      <c r="A52" s="1161"/>
      <c r="B52" t="s">
        <v>694</v>
      </c>
      <c r="C52" s="342">
        <v>53</v>
      </c>
      <c r="D52" s="343">
        <v>13</v>
      </c>
      <c r="E52" s="343">
        <f>D52*$R$20*$E$6/1000</f>
        <v>0.54600000000000004</v>
      </c>
      <c r="F52" s="343">
        <f>D52*(($S$20*$E$6+($T$20+$Y$19)*$F$6))/1000</f>
        <v>2.3084850750000001</v>
      </c>
      <c r="G52" s="383">
        <f>E52+F52</f>
        <v>2.8544850750000004</v>
      </c>
      <c r="H52" s="382">
        <f>H51+G52</f>
        <v>394.18715755579052</v>
      </c>
      <c r="I52" s="382"/>
      <c r="J52" s="1176"/>
      <c r="K52" s="391"/>
      <c r="L52" s="361">
        <f t="shared" si="10"/>
        <v>0</v>
      </c>
      <c r="Q52" t="s">
        <v>703</v>
      </c>
      <c r="S52" t="s">
        <v>283</v>
      </c>
      <c r="V52" t="s">
        <v>690</v>
      </c>
      <c r="W52">
        <v>27380</v>
      </c>
      <c r="X52">
        <v>46</v>
      </c>
      <c r="Y52" s="121">
        <f t="shared" ref="Y52:Y60" si="15">X52/W52</f>
        <v>1.6800584368151935E-3</v>
      </c>
      <c r="AE52" t="s">
        <v>714</v>
      </c>
    </row>
    <row r="53" spans="1:37" ht="14.25" x14ac:dyDescent="0.65">
      <c r="A53" s="1161"/>
      <c r="B53" t="s">
        <v>695</v>
      </c>
      <c r="C53" s="342">
        <v>3270</v>
      </c>
      <c r="D53" s="343">
        <v>801</v>
      </c>
      <c r="E53" s="343">
        <f>D53*$R$20*$E$6/1000</f>
        <v>33.642000000000003</v>
      </c>
      <c r="F53" s="343">
        <f>D53*(($S$20*$E$6+($T$20+$Y$20)*$F$6))/1000</f>
        <v>142.23819577500001</v>
      </c>
      <c r="G53" s="345">
        <f t="shared" ref="G53:G58" si="16">E53+F53</f>
        <v>175.880195775</v>
      </c>
      <c r="H53" s="382">
        <f>G53+G51+G50+G52</f>
        <v>504.55299044813597</v>
      </c>
      <c r="I53" s="382"/>
      <c r="J53" s="1176"/>
      <c r="K53" s="391"/>
      <c r="L53" s="361">
        <f t="shared" si="10"/>
        <v>-1.7177914110429265E-2</v>
      </c>
      <c r="O53" t="s">
        <v>676</v>
      </c>
      <c r="P53" t="s">
        <v>704</v>
      </c>
      <c r="Q53" t="s">
        <v>672</v>
      </c>
      <c r="R53" t="s">
        <v>29</v>
      </c>
      <c r="S53" t="s">
        <v>29</v>
      </c>
      <c r="T53" s="31"/>
      <c r="V53" t="s">
        <v>715</v>
      </c>
      <c r="W53">
        <v>51248</v>
      </c>
      <c r="X53">
        <v>57</v>
      </c>
      <c r="Y53" s="121">
        <f t="shared" si="15"/>
        <v>1.1122385263815174E-3</v>
      </c>
    </row>
    <row r="54" spans="1:37" ht="14.25" x14ac:dyDescent="0.65">
      <c r="A54" s="1161"/>
      <c r="B54" t="s">
        <v>696</v>
      </c>
      <c r="C54" s="342">
        <v>37169</v>
      </c>
      <c r="D54" s="343">
        <v>1867</v>
      </c>
      <c r="E54" s="343">
        <f>D54*$R$21*$E$6/1000</f>
        <v>78.414000000000001</v>
      </c>
      <c r="F54" s="343">
        <f>D54*(($S$21*$E$6+($T$21+$Y$21)*$F$6))/1000</f>
        <v>319.54589954937296</v>
      </c>
      <c r="G54" s="345">
        <f t="shared" si="16"/>
        <v>397.95989954937295</v>
      </c>
      <c r="H54" s="382">
        <f>G54+G50+G52</f>
        <v>441.49715741601898</v>
      </c>
      <c r="I54" s="382"/>
      <c r="J54" s="1176"/>
      <c r="K54" s="391"/>
      <c r="L54" s="361">
        <f t="shared" si="10"/>
        <v>-0.53626428216592148</v>
      </c>
      <c r="O54" t="s">
        <v>674</v>
      </c>
      <c r="P54">
        <v>91</v>
      </c>
      <c r="Q54" s="93">
        <v>11.14761814991517</v>
      </c>
      <c r="R54" s="93">
        <v>1.0784697573920701</v>
      </c>
      <c r="S54">
        <v>7.2979379999999996E-2</v>
      </c>
      <c r="T54" s="31">
        <f>(P54*((Q54+R54)*$Z$2+(S54)*$AB$2))/1000</f>
        <v>0</v>
      </c>
      <c r="V54" t="s">
        <v>693</v>
      </c>
      <c r="W54">
        <f>W53+W52</f>
        <v>78628</v>
      </c>
      <c r="X54">
        <f>X53+X52</f>
        <v>103</v>
      </c>
      <c r="Y54" s="121">
        <f t="shared" si="15"/>
        <v>1.3099659154499669E-3</v>
      </c>
      <c r="Z54">
        <v>80895</v>
      </c>
      <c r="AA54">
        <f>$Y54*Z54</f>
        <v>105.96969273032506</v>
      </c>
      <c r="AB54" t="e">
        <f>#REF!</f>
        <v>#REF!</v>
      </c>
      <c r="AC54" t="e">
        <f>$Y54*AB54</f>
        <v>#REF!</v>
      </c>
      <c r="AG54" t="s">
        <v>282</v>
      </c>
      <c r="AH54" t="s">
        <v>283</v>
      </c>
      <c r="AI54" t="s">
        <v>660</v>
      </c>
    </row>
    <row r="55" spans="1:37" ht="14.25" x14ac:dyDescent="0.65">
      <c r="A55" s="1161"/>
      <c r="B55" t="s">
        <v>697</v>
      </c>
      <c r="C55" s="342">
        <f>SUM(C52:C54)</f>
        <v>40492</v>
      </c>
      <c r="D55" s="343">
        <f>SUM(D52:D54)</f>
        <v>2681</v>
      </c>
      <c r="E55" s="343">
        <f>SUM(E52:E54)</f>
        <v>112.602</v>
      </c>
      <c r="F55" s="343">
        <f>SUM(F52:F54)</f>
        <v>464.09258039937299</v>
      </c>
      <c r="G55" s="345">
        <f t="shared" si="16"/>
        <v>576.69458039937297</v>
      </c>
      <c r="H55" s="382">
        <f>G55</f>
        <v>576.69458039937297</v>
      </c>
      <c r="I55" s="382">
        <f>D55+I51</f>
        <v>3186</v>
      </c>
      <c r="J55" s="1176"/>
      <c r="K55" s="391">
        <f>(D55-D38)/D38</f>
        <v>-0.44767202307375359</v>
      </c>
      <c r="L55" s="361">
        <f t="shared" si="10"/>
        <v>-0.44546983762506326</v>
      </c>
      <c r="O55" t="s">
        <v>682</v>
      </c>
      <c r="P55">
        <v>5</v>
      </c>
      <c r="Q55" s="93">
        <v>11.945009918068131</v>
      </c>
      <c r="R55" s="93">
        <v>1.1556129322983999</v>
      </c>
      <c r="S55">
        <v>0.11514180857179999</v>
      </c>
      <c r="T55" s="31">
        <f>(P55*((Q55+R55)*$Z$2+(S55)*$AB$2))/1000</f>
        <v>0</v>
      </c>
      <c r="V55" t="s">
        <v>716</v>
      </c>
      <c r="W55">
        <v>480656</v>
      </c>
      <c r="X55">
        <v>328</v>
      </c>
      <c r="Y55" s="121">
        <f t="shared" si="15"/>
        <v>6.8240071901734295E-4</v>
      </c>
      <c r="Z55">
        <v>415619</v>
      </c>
      <c r="AA55">
        <f>$Y55*Z55</f>
        <v>283.61870443726906</v>
      </c>
      <c r="AB55" t="e">
        <f>#REF!</f>
        <v>#REF!</v>
      </c>
      <c r="AC55" t="e">
        <f>$Y55*AB55</f>
        <v>#REF!</v>
      </c>
      <c r="AE55" t="s">
        <v>717</v>
      </c>
      <c r="AG55">
        <v>1.1299999999999999</v>
      </c>
      <c r="AH55">
        <v>4.7000000000000002E-3</v>
      </c>
      <c r="AI55">
        <f>AG55*Z2+AH55*AB2</f>
        <v>0</v>
      </c>
    </row>
    <row r="56" spans="1:37" ht="14.25" x14ac:dyDescent="0.65">
      <c r="A56" s="1161"/>
      <c r="B56" t="s">
        <v>698</v>
      </c>
      <c r="C56" s="342">
        <v>53453</v>
      </c>
      <c r="D56" s="343">
        <v>473</v>
      </c>
      <c r="E56" s="343">
        <f>D56*$R$23*$E$6/1000</f>
        <v>238.39201900088946</v>
      </c>
      <c r="F56" s="343">
        <f>D56*(($S$23*$E$6+($T$23+$Y$23)*$F$6))/1000</f>
        <v>25.375408842199885</v>
      </c>
      <c r="G56" s="345">
        <f t="shared" si="16"/>
        <v>263.76742784308937</v>
      </c>
      <c r="H56" s="382">
        <f>G55+G56</f>
        <v>840.46200824246239</v>
      </c>
      <c r="I56" s="382">
        <f>I55+D56</f>
        <v>3659</v>
      </c>
      <c r="J56" s="1176"/>
      <c r="K56" s="391">
        <f>(D56-D39)/D39</f>
        <v>-0.31149927219796214</v>
      </c>
      <c r="L56" s="361">
        <f t="shared" si="10"/>
        <v>-0.31149927219796208</v>
      </c>
      <c r="O56" t="s">
        <v>684</v>
      </c>
      <c r="P56">
        <v>20</v>
      </c>
      <c r="Q56" s="93">
        <v>9.4492087765085397</v>
      </c>
      <c r="R56" s="93">
        <v>0.91415808731918002</v>
      </c>
      <c r="S56">
        <v>3.2046688928510002E-2</v>
      </c>
      <c r="T56" s="31">
        <f>(P56*((Q56+R56)*$Z$2+(S56)*$AB$2))/1000</f>
        <v>0</v>
      </c>
      <c r="Y56" s="121"/>
      <c r="AE56" t="s">
        <v>718</v>
      </c>
      <c r="AG56">
        <v>0.74</v>
      </c>
      <c r="AH56">
        <v>2.8E-3</v>
      </c>
    </row>
    <row r="57" spans="1:37" ht="14.25" x14ac:dyDescent="0.65">
      <c r="A57" s="1161"/>
      <c r="B57" t="s">
        <v>699</v>
      </c>
      <c r="C57" s="342">
        <v>1493</v>
      </c>
      <c r="D57" s="343">
        <v>36</v>
      </c>
      <c r="E57" s="343">
        <f>D57*$R$24*$E$6/1000</f>
        <v>5.04</v>
      </c>
      <c r="F57" s="343">
        <f>D57*(($S$24*$E$6+($T$24+$Y$24)*$F$6))/1000</f>
        <v>1.5431143510584002</v>
      </c>
      <c r="G57" s="345">
        <f t="shared" si="16"/>
        <v>6.5831143510584003</v>
      </c>
      <c r="H57" s="382">
        <f>SUM(G55:G57)</f>
        <v>847.04512259352077</v>
      </c>
      <c r="I57" s="382">
        <f>D57+I56</f>
        <v>3695</v>
      </c>
      <c r="J57" s="1176"/>
      <c r="K57" s="391">
        <f>(D57-D40)/D40</f>
        <v>0.2</v>
      </c>
      <c r="L57" s="361">
        <f t="shared" si="10"/>
        <v>0.20000000000000007</v>
      </c>
      <c r="O57" t="s">
        <v>686</v>
      </c>
      <c r="P57">
        <v>173</v>
      </c>
      <c r="Q57" s="93">
        <v>4.6737698718801299</v>
      </c>
      <c r="R57" s="93">
        <v>9.9161767965600001E-2</v>
      </c>
      <c r="T57" s="31">
        <f>(P57*((Q57+R57)*$Z$2+(S57)*$AB$2))/1000</f>
        <v>0</v>
      </c>
      <c r="V57" t="s">
        <v>719</v>
      </c>
      <c r="W57">
        <v>72626</v>
      </c>
      <c r="X57">
        <v>2879</v>
      </c>
      <c r="Y57" s="121">
        <f t="shared" si="15"/>
        <v>3.9641450720127779E-2</v>
      </c>
      <c r="Z57">
        <v>71500</v>
      </c>
      <c r="AA57">
        <f>$Y57*Z57</f>
        <v>2834.3637264891363</v>
      </c>
      <c r="AB57" t="e">
        <f>#REF!</f>
        <v>#REF!</v>
      </c>
      <c r="AC57" t="e">
        <f>$Y57*AB57</f>
        <v>#REF!</v>
      </c>
      <c r="AE57" t="s">
        <v>720</v>
      </c>
      <c r="AG57">
        <v>0.28999999999999998</v>
      </c>
      <c r="AH57">
        <v>1.4E-3</v>
      </c>
      <c r="AK57" t="s">
        <v>572</v>
      </c>
    </row>
    <row r="58" spans="1:37" ht="15" thickBot="1" x14ac:dyDescent="0.8">
      <c r="A58" s="1175"/>
      <c r="B58" t="s">
        <v>701</v>
      </c>
      <c r="C58" s="350">
        <v>942993</v>
      </c>
      <c r="D58" s="351">
        <v>74042</v>
      </c>
      <c r="E58" s="343">
        <f>D58*$R$25*$E$6/1000</f>
        <v>41.463495121888002</v>
      </c>
      <c r="F58" s="343">
        <f>D58*(($S$25*$E$6+($T$25+$Y$25)*$F$6))/1000</f>
        <v>411.78319972754974</v>
      </c>
      <c r="G58" s="386">
        <f t="shared" si="16"/>
        <v>453.24669484943774</v>
      </c>
      <c r="H58" s="382">
        <f>SUM(G55:G58)+G51+G47</f>
        <v>1691.624489923749</v>
      </c>
      <c r="I58" s="382">
        <f>I57+D58</f>
        <v>77737</v>
      </c>
      <c r="J58" s="1176"/>
      <c r="K58" s="391">
        <f>(D58-D41)/D41</f>
        <v>8.8244804374026278E-2</v>
      </c>
      <c r="L58" s="361">
        <f t="shared" si="10"/>
        <v>8.8244804374026195E-2</v>
      </c>
      <c r="O58" t="s">
        <v>687</v>
      </c>
      <c r="P58">
        <v>289</v>
      </c>
      <c r="Q58" s="93"/>
      <c r="T58" s="31">
        <f>SUM(T54:T57)</f>
        <v>0</v>
      </c>
      <c r="V58" t="s">
        <v>699</v>
      </c>
      <c r="W58">
        <v>990</v>
      </c>
      <c r="X58">
        <v>31</v>
      </c>
      <c r="Y58" s="121">
        <f t="shared" si="15"/>
        <v>3.1313131313131314E-2</v>
      </c>
      <c r="Z58">
        <v>1471</v>
      </c>
      <c r="AA58">
        <f>$Y58*Z58</f>
        <v>46.061616161616165</v>
      </c>
      <c r="AB58">
        <v>2177</v>
      </c>
      <c r="AC58">
        <f>$Y58*AB58</f>
        <v>68.168686868686876</v>
      </c>
      <c r="AE58" t="s">
        <v>721</v>
      </c>
      <c r="AG58">
        <v>0.09</v>
      </c>
      <c r="AH58">
        <v>5.0000000000000001E-4</v>
      </c>
    </row>
    <row r="59" spans="1:37" ht="15" thickBot="1" x14ac:dyDescent="0.75">
      <c r="A59" s="354" t="s">
        <v>3</v>
      </c>
      <c r="B59" s="355">
        <f>A43</f>
        <v>2018</v>
      </c>
      <c r="C59" s="356">
        <f>SUM(C55:C58)</f>
        <v>1038431</v>
      </c>
      <c r="D59" s="356"/>
      <c r="E59" s="387">
        <f>SUM(E55:E58)+E51+E47</f>
        <v>717.56472284678648</v>
      </c>
      <c r="F59" s="387">
        <f>SUM(F55:F58)+F51+F47</f>
        <v>974.05976707696254</v>
      </c>
      <c r="G59" s="357">
        <f>E59+F59</f>
        <v>1691.624489923749</v>
      </c>
      <c r="H59" s="357">
        <f>H58</f>
        <v>1691.624489923749</v>
      </c>
      <c r="I59" s="357">
        <f>SUM(I55:I58)</f>
        <v>88277</v>
      </c>
      <c r="J59" s="1177"/>
      <c r="K59" s="372">
        <f>(I59-I42)/I42</f>
        <v>-4.0540393665699351E-2</v>
      </c>
      <c r="L59" s="373">
        <f>(G59-G42)/G42</f>
        <v>-0.24664004469828402</v>
      </c>
      <c r="O59" t="s">
        <v>698</v>
      </c>
      <c r="P59">
        <v>861</v>
      </c>
      <c r="Q59" s="93">
        <v>18.00000143467906</v>
      </c>
      <c r="R59">
        <v>1.0900001434679101</v>
      </c>
      <c r="S59">
        <v>3.0389120972139999E-2</v>
      </c>
      <c r="T59" s="31">
        <f>(P59*((Q59+R59)*$Z$2+(S59)*$AB$2))/1000</f>
        <v>0</v>
      </c>
      <c r="V59" t="s">
        <v>722</v>
      </c>
      <c r="W59">
        <v>3550</v>
      </c>
      <c r="X59">
        <v>793</v>
      </c>
      <c r="Y59" s="121">
        <f t="shared" si="15"/>
        <v>0.22338028169014085</v>
      </c>
      <c r="Z59">
        <v>10929</v>
      </c>
      <c r="AA59">
        <f>$Y59*Z59</f>
        <v>2441.3230985915493</v>
      </c>
      <c r="AB59">
        <v>40278</v>
      </c>
      <c r="AC59">
        <f>$Y59*AB59</f>
        <v>8997.3109859154938</v>
      </c>
    </row>
    <row r="60" spans="1:37" ht="14.25" customHeight="1" x14ac:dyDescent="0.65">
      <c r="A60" s="1161">
        <v>2019</v>
      </c>
      <c r="B60" t="s">
        <v>674</v>
      </c>
      <c r="C60" s="334">
        <v>327993</v>
      </c>
      <c r="D60" s="335">
        <v>93</v>
      </c>
      <c r="E60" s="335">
        <f>D60*$R$10*$E$6/1000</f>
        <v>29.028397662379103</v>
      </c>
      <c r="F60" s="335">
        <f>D60*(($S$10*$E$6+($T$10+$Y$10)*$F$6))/1000</f>
        <v>5.5599042592708257</v>
      </c>
      <c r="G60" s="337">
        <f>E60+F60</f>
        <v>34.588301921649929</v>
      </c>
      <c r="H60" s="381">
        <f>G60</f>
        <v>34.588301921649929</v>
      </c>
      <c r="I60" s="381"/>
      <c r="J60" s="1176" t="str">
        <f>"Milli áranna "&amp; $A43 &amp;" og "&amp; $A60</f>
        <v>Milli áranna 2018 og 2019</v>
      </c>
      <c r="K60" s="390"/>
      <c r="L60" s="361">
        <f>(G60-G43)/G43</f>
        <v>-0.41139240506329117</v>
      </c>
      <c r="Q60" s="31"/>
      <c r="V60" t="s">
        <v>723</v>
      </c>
      <c r="W60">
        <v>238000</v>
      </c>
      <c r="X60">
        <v>53038</v>
      </c>
      <c r="Y60" s="121">
        <f t="shared" si="15"/>
        <v>0.22284873949579831</v>
      </c>
      <c r="Z60">
        <f>205121+61974</f>
        <v>267095</v>
      </c>
      <c r="AA60">
        <f>$Y60*Z60</f>
        <v>59521.784075630247</v>
      </c>
      <c r="AB60">
        <f>P60</f>
        <v>0</v>
      </c>
      <c r="AC60">
        <f>$Y60*AB60</f>
        <v>0</v>
      </c>
    </row>
    <row r="61" spans="1:37" ht="14.25" x14ac:dyDescent="0.65">
      <c r="A61" s="1161"/>
      <c r="B61" t="s">
        <v>682</v>
      </c>
      <c r="C61" s="342">
        <v>10944</v>
      </c>
      <c r="D61" s="343">
        <v>11</v>
      </c>
      <c r="E61" s="343">
        <f>D61*$R$11*$E$6/1000</f>
        <v>3.6790630547649839</v>
      </c>
      <c r="F61" s="343">
        <f>D61*(($S$11*$E$6+($T$11+$Y$11)*$F$6))/1000</f>
        <v>0.85631104918157919</v>
      </c>
      <c r="G61" s="345">
        <f>E61+F61</f>
        <v>4.5353741039465634</v>
      </c>
      <c r="H61" s="382">
        <f>G61+G60</f>
        <v>39.123676025596495</v>
      </c>
      <c r="I61" s="382"/>
      <c r="J61" s="1176"/>
      <c r="K61" s="391"/>
      <c r="L61" s="361">
        <f t="shared" ref="L61:L75" si="17">(G61-G44)/G44</f>
        <v>-0.31249999999999989</v>
      </c>
    </row>
    <row r="62" spans="1:37" ht="14.25" x14ac:dyDescent="0.65">
      <c r="A62" s="1161"/>
      <c r="B62" t="s">
        <v>684</v>
      </c>
      <c r="C62" s="342">
        <f>76610</f>
        <v>76610</v>
      </c>
      <c r="D62" s="343">
        <f>34</f>
        <v>34</v>
      </c>
      <c r="E62" s="343">
        <f>D62*$R$12*$E$6/1000</f>
        <v>8.9956467552361286</v>
      </c>
      <c r="F62" s="343">
        <f>D62*(($S$12*$E$6+($T$12+$Y$12)*$F$6))/1000</f>
        <v>1.3513123427155596</v>
      </c>
      <c r="G62" s="345">
        <f>E62+F62</f>
        <v>10.346959097951688</v>
      </c>
      <c r="H62" s="382">
        <f>G62+G61+G60</f>
        <v>49.470635123548178</v>
      </c>
      <c r="I62" s="382"/>
      <c r="J62" s="1176"/>
      <c r="K62" s="391"/>
      <c r="L62" s="361">
        <f t="shared" si="17"/>
        <v>-0.40350877192982465</v>
      </c>
    </row>
    <row r="63" spans="1:37" ht="14.25" x14ac:dyDescent="0.65">
      <c r="A63" s="1161"/>
      <c r="B63" t="s">
        <v>686</v>
      </c>
      <c r="C63" s="342">
        <f>76610*3</f>
        <v>229830</v>
      </c>
      <c r="D63" s="343">
        <f>34*3</f>
        <v>102</v>
      </c>
      <c r="E63" s="343">
        <f>D63*$R$13*$E$6/1000</f>
        <v>13.348286754089651</v>
      </c>
      <c r="F63" s="343">
        <f>D63*(($S$13*$E$6+($T$13+$Y$13)*$F$6))/1000</f>
        <v>0.66384915923475352</v>
      </c>
      <c r="G63" s="345">
        <f t="shared" ref="G63" si="18">E63+F63</f>
        <v>14.012135913324405</v>
      </c>
      <c r="H63" s="382">
        <f>SUM(G60:G63)</f>
        <v>63.482771036872592</v>
      </c>
      <c r="I63" s="382"/>
      <c r="J63" s="1176"/>
      <c r="K63" s="391"/>
      <c r="L63" s="361">
        <f t="shared" si="17"/>
        <v>-0.40350877192982448</v>
      </c>
    </row>
    <row r="64" spans="1:37" ht="14.25" x14ac:dyDescent="0.65">
      <c r="A64" s="1161"/>
      <c r="B64" t="s">
        <v>687</v>
      </c>
      <c r="C64" s="342">
        <f>SUM(C60:C63)</f>
        <v>645377</v>
      </c>
      <c r="D64" s="343">
        <f>SUM(D60:D63)</f>
        <v>240</v>
      </c>
      <c r="E64" s="343">
        <f t="shared" ref="E64" si="19">SUM(E60:E63)</f>
        <v>55.051394226469867</v>
      </c>
      <c r="F64" s="343">
        <f t="shared" ref="F64" si="20">SUM(F60:F63)</f>
        <v>8.4313768104027194</v>
      </c>
      <c r="G64" s="345">
        <f>E64+F64</f>
        <v>63.482771036872585</v>
      </c>
      <c r="H64" s="382">
        <f>G64</f>
        <v>63.482771036872585</v>
      </c>
      <c r="I64" s="382">
        <f>D64</f>
        <v>240</v>
      </c>
      <c r="J64" s="1176"/>
      <c r="K64" s="391">
        <f>(D64-D47)/D47</f>
        <v>-0.40298507462686567</v>
      </c>
      <c r="L64" s="361">
        <f t="shared" si="17"/>
        <v>-0.40221767156159516</v>
      </c>
    </row>
    <row r="65" spans="1:28" ht="14.25" x14ac:dyDescent="0.65">
      <c r="A65" s="1161"/>
      <c r="B65" t="s">
        <v>688</v>
      </c>
      <c r="C65" s="342">
        <v>26214</v>
      </c>
      <c r="D65" s="343">
        <v>53</v>
      </c>
      <c r="E65" s="343">
        <f>D65*$R$15*$E$6/1000</f>
        <v>162.00159458000002</v>
      </c>
      <c r="F65" s="343">
        <f>D65*(($S$15*$E$6+($T$15+$Y$15)*$F$6))/1000</f>
        <v>48.676337348245845</v>
      </c>
      <c r="G65" s="345">
        <f t="shared" ref="G65:G67" si="21">E65+F65</f>
        <v>210.67793192824587</v>
      </c>
      <c r="H65" s="382">
        <f>G65+G64</f>
        <v>274.16070296511845</v>
      </c>
      <c r="I65" s="382"/>
      <c r="J65" s="1176"/>
      <c r="K65" s="391"/>
      <c r="L65" s="361">
        <f t="shared" si="17"/>
        <v>6.0000000000000012E-2</v>
      </c>
    </row>
    <row r="66" spans="1:28" ht="14.25" x14ac:dyDescent="0.65">
      <c r="A66" s="1161"/>
      <c r="B66" t="s">
        <v>689</v>
      </c>
      <c r="C66" s="342">
        <v>23468</v>
      </c>
      <c r="D66" s="343">
        <v>11</v>
      </c>
      <c r="E66" s="343">
        <f>D66*$R$16*$E$6/1000</f>
        <v>22.71658666662</v>
      </c>
      <c r="F66" s="343">
        <f>D66*(($S$16*$E$6+($T$16+$Y$16)*$F$6))/1000</f>
        <v>1.2215075473231838</v>
      </c>
      <c r="G66" s="345">
        <f t="shared" si="21"/>
        <v>23.938094213943184</v>
      </c>
      <c r="H66" s="382">
        <f>G66+G65+G64</f>
        <v>298.09879717906165</v>
      </c>
      <c r="I66" s="382"/>
      <c r="J66" s="1176"/>
      <c r="K66" s="391"/>
      <c r="L66" s="361">
        <f t="shared" si="17"/>
        <v>-0.47619047619047611</v>
      </c>
    </row>
    <row r="67" spans="1:28" ht="14.25" x14ac:dyDescent="0.65">
      <c r="A67" s="1161"/>
      <c r="B67" t="s">
        <v>691</v>
      </c>
      <c r="C67" s="342">
        <v>31616</v>
      </c>
      <c r="D67" s="343">
        <v>42</v>
      </c>
      <c r="E67" s="343">
        <f>D67*$R$17*$E$6/1000</f>
        <v>41.658897184799997</v>
      </c>
      <c r="F67" s="343">
        <f>D67*(($S$17*$E$6+($T$17+$Y$17)*$F$6))/1000</f>
        <v>11.737242104235438</v>
      </c>
      <c r="G67" s="383">
        <f t="shared" si="21"/>
        <v>53.396139289035432</v>
      </c>
      <c r="H67" s="382">
        <f>G67+G66+G65+G64</f>
        <v>351.49493646809708</v>
      </c>
      <c r="I67" s="382"/>
      <c r="J67" s="1176"/>
      <c r="K67" s="391"/>
      <c r="L67" s="361">
        <f t="shared" si="17"/>
        <v>0.31249999999999994</v>
      </c>
    </row>
    <row r="68" spans="1:28" ht="14.25" x14ac:dyDescent="0.65">
      <c r="A68" s="1161"/>
      <c r="B68" t="s">
        <v>693</v>
      </c>
      <c r="C68" s="342">
        <f>SUM(C65:C67)</f>
        <v>81298</v>
      </c>
      <c r="D68" s="343">
        <f>SUM(D65:D67)</f>
        <v>106</v>
      </c>
      <c r="E68" s="343">
        <f>SUM(E65:E67)</f>
        <v>226.37707843142002</v>
      </c>
      <c r="F68" s="343">
        <f>SUM(F65:F67)</f>
        <v>61.635086999804471</v>
      </c>
      <c r="G68" s="383">
        <f>E68+F68</f>
        <v>288.0121654312245</v>
      </c>
      <c r="H68" s="382">
        <f>G68+G64</f>
        <v>351.49493646809708</v>
      </c>
      <c r="I68" s="382">
        <f>D68+I64</f>
        <v>346</v>
      </c>
      <c r="J68" s="1176"/>
      <c r="K68" s="391">
        <f>(D68-D51)/D51</f>
        <v>2.9126213592233011E-2</v>
      </c>
      <c r="L68" s="361">
        <f t="shared" si="17"/>
        <v>1.0088635941183359E-2</v>
      </c>
    </row>
    <row r="69" spans="1:28" ht="14.25" x14ac:dyDescent="0.65">
      <c r="A69" s="1161"/>
      <c r="B69" t="s">
        <v>694</v>
      </c>
      <c r="C69" s="342">
        <v>44</v>
      </c>
      <c r="D69" s="343">
        <v>10</v>
      </c>
      <c r="E69" s="343">
        <f>D69*$R$20*$E$6/1000</f>
        <v>0.42</v>
      </c>
      <c r="F69" s="343">
        <f>D69*(($S$20*$E$6+($T$20+$Y$19)*$F$6))/1000</f>
        <v>1.7757577499999999</v>
      </c>
      <c r="G69" s="383">
        <f>E69+F69</f>
        <v>2.1957577499999998</v>
      </c>
      <c r="H69" s="382">
        <f>H68+G69</f>
        <v>353.69069421809706</v>
      </c>
      <c r="I69" s="382"/>
      <c r="J69" s="1176"/>
      <c r="K69" s="391"/>
      <c r="L69" s="361">
        <f t="shared" si="17"/>
        <v>-0.23076923076923092</v>
      </c>
    </row>
    <row r="70" spans="1:28" ht="14.25" x14ac:dyDescent="0.65">
      <c r="A70" s="1161"/>
      <c r="B70" t="s">
        <v>695</v>
      </c>
      <c r="C70" s="342">
        <v>3111</v>
      </c>
      <c r="D70" s="343">
        <v>801</v>
      </c>
      <c r="E70" s="343">
        <f>D70*$R$20*$E$6/1000</f>
        <v>33.642000000000003</v>
      </c>
      <c r="F70" s="343">
        <f>D70*(($S$20*$E$6+($T$20+$Y$20)*$F$6))/1000</f>
        <v>142.23819577500001</v>
      </c>
      <c r="G70" s="345">
        <f t="shared" ref="G70:G75" si="22">E70+F70</f>
        <v>175.880195775</v>
      </c>
      <c r="H70" s="382">
        <f>G70+G68+G67+G69</f>
        <v>519.48425824525998</v>
      </c>
      <c r="I70" s="382"/>
      <c r="J70" s="1176"/>
      <c r="K70" s="391"/>
      <c r="L70" s="361">
        <f t="shared" si="17"/>
        <v>0</v>
      </c>
    </row>
    <row r="71" spans="1:28" ht="14.25" x14ac:dyDescent="0.65">
      <c r="A71" s="1161"/>
      <c r="B71" t="s">
        <v>696</v>
      </c>
      <c r="C71" s="342">
        <v>31791</v>
      </c>
      <c r="D71" s="343">
        <v>2350</v>
      </c>
      <c r="E71" s="343">
        <f>D71*$R$21*$E$6/1000</f>
        <v>98.7</v>
      </c>
      <c r="F71" s="343">
        <f>D71*(($S$21*$E$6+($T$21+$Y$21)*$F$6))/1000</f>
        <v>402.21363896144959</v>
      </c>
      <c r="G71" s="345">
        <f t="shared" si="22"/>
        <v>500.91363896144958</v>
      </c>
      <c r="H71" s="382">
        <f>G71+G67+G69</f>
        <v>556.50553600048499</v>
      </c>
      <c r="I71" s="382"/>
      <c r="J71" s="1176"/>
      <c r="K71" s="391"/>
      <c r="L71" s="361">
        <f t="shared" si="17"/>
        <v>0.25870380289234057</v>
      </c>
    </row>
    <row r="72" spans="1:28" ht="14.25" x14ac:dyDescent="0.65">
      <c r="A72" s="1161"/>
      <c r="B72" t="s">
        <v>697</v>
      </c>
      <c r="C72" s="342">
        <f>SUM(C69:C71)</f>
        <v>34946</v>
      </c>
      <c r="D72" s="343">
        <f>SUM(D69:D71)</f>
        <v>3161</v>
      </c>
      <c r="E72" s="343">
        <f>SUM(E69:E71)</f>
        <v>132.762</v>
      </c>
      <c r="F72" s="343">
        <f>SUM(F69:F71)</f>
        <v>546.22759248644957</v>
      </c>
      <c r="G72" s="345">
        <f t="shared" si="22"/>
        <v>678.98959248644951</v>
      </c>
      <c r="H72" s="382">
        <f>G72</f>
        <v>678.98959248644951</v>
      </c>
      <c r="I72" s="382">
        <f>D72+I68</f>
        <v>3507</v>
      </c>
      <c r="J72" s="1176"/>
      <c r="K72" s="391">
        <f>(D72-D55)/D55</f>
        <v>0.17903767251025737</v>
      </c>
      <c r="L72" s="361">
        <f t="shared" si="17"/>
        <v>0.17738160815770998</v>
      </c>
    </row>
    <row r="73" spans="1:28" ht="14.25" x14ac:dyDescent="0.65">
      <c r="A73" s="1161"/>
      <c r="B73" t="s">
        <v>698</v>
      </c>
      <c r="C73" s="342">
        <v>55230</v>
      </c>
      <c r="D73" s="343">
        <v>414</v>
      </c>
      <c r="E73" s="343">
        <f>D73*$R$23*$E$6/1000</f>
        <v>208.65601663079968</v>
      </c>
      <c r="F73" s="343">
        <f>D73*(($S$23*$E$6+($T$23+$Y$23)*$F$6))/1000</f>
        <v>22.210188711777491</v>
      </c>
      <c r="G73" s="345">
        <f t="shared" si="22"/>
        <v>230.86620534257719</v>
      </c>
      <c r="H73" s="382">
        <f>G72+G73</f>
        <v>909.85579782902664</v>
      </c>
      <c r="I73" s="382">
        <f>I72+D73</f>
        <v>3921</v>
      </c>
      <c r="J73" s="1176"/>
      <c r="K73" s="391">
        <f>(D73-D56)/D56</f>
        <v>-0.12473572938689217</v>
      </c>
      <c r="L73" s="361">
        <f t="shared" si="17"/>
        <v>-0.12473572938689208</v>
      </c>
    </row>
    <row r="74" spans="1:28" ht="23" x14ac:dyDescent="1">
      <c r="A74" s="1161"/>
      <c r="B74" t="s">
        <v>699</v>
      </c>
      <c r="C74" s="342">
        <v>1471</v>
      </c>
      <c r="D74" s="343">
        <v>8</v>
      </c>
      <c r="E74" s="343">
        <f>D74*$R$24*$E$6/1000</f>
        <v>1.1200000000000001</v>
      </c>
      <c r="F74" s="343">
        <f>D74*(($S$24*$E$6+($T$24+$Y$24)*$F$6))/1000</f>
        <v>0.34291430023520003</v>
      </c>
      <c r="G74" s="345">
        <f t="shared" si="22"/>
        <v>1.4629143002352001</v>
      </c>
      <c r="H74" s="382">
        <f>SUM(G72:G74)</f>
        <v>911.31871212926183</v>
      </c>
      <c r="I74" s="382">
        <f>D74+I73</f>
        <v>3929</v>
      </c>
      <c r="J74" s="1176"/>
      <c r="K74" s="391">
        <f>(D74-D57)/D57</f>
        <v>-0.77777777777777779</v>
      </c>
      <c r="L74" s="361">
        <f t="shared" si="17"/>
        <v>-0.77777777777777779</v>
      </c>
      <c r="O74" s="662" t="s">
        <v>97</v>
      </c>
    </row>
    <row r="75" spans="1:28" ht="15" thickBot="1" x14ac:dyDescent="0.8">
      <c r="A75" s="1175"/>
      <c r="B75" t="s">
        <v>701</v>
      </c>
      <c r="C75" s="350">
        <v>970847</v>
      </c>
      <c r="D75" s="351">
        <v>73053</v>
      </c>
      <c r="E75" s="343">
        <f>D75*$R$25*$E$6/1000</f>
        <v>40.909655454191999</v>
      </c>
      <c r="F75" s="343">
        <f>D75*(($S$25*$E$6+($T$25+$Y$25)*$F$6))/1000</f>
        <v>406.28289470431224</v>
      </c>
      <c r="G75" s="386">
        <f t="shared" si="22"/>
        <v>447.19255015850422</v>
      </c>
      <c r="H75" s="382">
        <f>SUM(G72:G75)+G68+G64</f>
        <v>1710.0061987558631</v>
      </c>
      <c r="I75" s="382">
        <f>I74+D75</f>
        <v>76982</v>
      </c>
      <c r="J75" s="1176"/>
      <c r="K75" s="391">
        <f>(D75-D58)/D58</f>
        <v>-1.3357283703843764E-2</v>
      </c>
      <c r="L75" s="361">
        <f t="shared" si="17"/>
        <v>-1.3357283703843949E-2</v>
      </c>
      <c r="T75" s="25" t="s">
        <v>968</v>
      </c>
      <c r="U75" s="919">
        <v>2023</v>
      </c>
      <c r="V75" s="919"/>
      <c r="W75" s="919"/>
      <c r="X75" s="918" t="s">
        <v>755</v>
      </c>
      <c r="Y75" s="920" t="s">
        <v>756</v>
      </c>
      <c r="Z75" s="918" t="s">
        <v>757</v>
      </c>
    </row>
    <row r="76" spans="1:28" ht="15.25" thickBot="1" x14ac:dyDescent="0.85">
      <c r="A76" s="354" t="s">
        <v>3</v>
      </c>
      <c r="B76" s="355">
        <f>A60</f>
        <v>2019</v>
      </c>
      <c r="C76" s="356">
        <f>SUM(C72:C75)</f>
        <v>1062494</v>
      </c>
      <c r="D76" s="356"/>
      <c r="E76" s="387">
        <f>SUM(E72:E75)+E68+E64</f>
        <v>664.87614474288148</v>
      </c>
      <c r="F76" s="387">
        <f>SUM(F72:F75)+F68+F64</f>
        <v>1045.1300540129819</v>
      </c>
      <c r="G76" s="357">
        <f>E76+F76</f>
        <v>1710.0061987558634</v>
      </c>
      <c r="H76" s="357">
        <f>H75</f>
        <v>1710.0061987558631</v>
      </c>
      <c r="I76" s="357">
        <f>SUM(I72:I75)</f>
        <v>88339</v>
      </c>
      <c r="J76" s="1177"/>
      <c r="K76" s="372">
        <f>(I76-I59)/I59</f>
        <v>7.0233469646680338E-4</v>
      </c>
      <c r="L76" s="373">
        <f>(G76-G59)/G59</f>
        <v>1.0866305697042075E-2</v>
      </c>
      <c r="P76" s="47" t="s">
        <v>724</v>
      </c>
      <c r="U76" s="1267" t="s">
        <v>742</v>
      </c>
      <c r="V76" s="1268"/>
      <c r="W76" s="1269"/>
      <c r="X76" s="922">
        <v>0</v>
      </c>
      <c r="Y76" s="922"/>
      <c r="Z76" s="922">
        <f>Y76*X76</f>
        <v>0</v>
      </c>
      <c r="AB76" s="25" t="s">
        <v>759</v>
      </c>
    </row>
    <row r="77" spans="1:28" ht="14.25" x14ac:dyDescent="0.65">
      <c r="A77" s="1161">
        <v>2020</v>
      </c>
      <c r="B77" t="s">
        <v>674</v>
      </c>
      <c r="C77" s="334">
        <v>315791</v>
      </c>
      <c r="D77" s="335">
        <v>139</v>
      </c>
      <c r="E77" s="335">
        <f>D77*$R$10*$E$6/1000</f>
        <v>43.386529839469837</v>
      </c>
      <c r="F77" s="335">
        <f>D77*(($S$10*$E$6+($T$10+$Y$10)*$F$6))/1000</f>
        <v>8.3099644305230616</v>
      </c>
      <c r="G77" s="720">
        <f>E77+F77</f>
        <v>51.696494269992897</v>
      </c>
      <c r="H77" s="381">
        <f>G77</f>
        <v>51.696494269992897</v>
      </c>
      <c r="I77" s="381"/>
      <c r="J77" s="1176" t="str">
        <f>"Milli áranna "&amp; $A60 &amp;" og "&amp; $A77</f>
        <v>Milli áranna 2019 og 2020</v>
      </c>
      <c r="K77" s="390"/>
      <c r="L77" s="361">
        <f>(G77-G60)/G60</f>
        <v>0.49462365591397828</v>
      </c>
      <c r="O77" t="s">
        <v>171</v>
      </c>
      <c r="P77">
        <v>56009</v>
      </c>
      <c r="T77">
        <v>8</v>
      </c>
      <c r="U77" s="1270" t="s">
        <v>743</v>
      </c>
      <c r="V77" s="1271"/>
      <c r="W77" s="1272"/>
      <c r="X77" s="919">
        <v>5.7</v>
      </c>
      <c r="Y77" s="919">
        <v>15600.7</v>
      </c>
      <c r="Z77" s="919">
        <f t="shared" ref="Z77:Z88" si="23">Y77*X77</f>
        <v>88923.99</v>
      </c>
    </row>
    <row r="78" spans="1:28" ht="14.25" x14ac:dyDescent="0.65">
      <c r="A78" s="1161"/>
      <c r="B78" t="s">
        <v>682</v>
      </c>
      <c r="C78" s="342">
        <v>11002</v>
      </c>
      <c r="D78" s="343">
        <v>16</v>
      </c>
      <c r="E78" s="343">
        <f>D78*$R$11*$E$6/1000</f>
        <v>5.3513644432945222</v>
      </c>
      <c r="F78" s="343">
        <f>D78*(($S$11*$E$6+($T$11+$Y$11)*$F$6))/1000</f>
        <v>1.2455433442641151</v>
      </c>
      <c r="G78" s="721">
        <f>E78+F78</f>
        <v>6.5969077875586368</v>
      </c>
      <c r="H78" s="382">
        <f>G78+G77</f>
        <v>58.293402057551532</v>
      </c>
      <c r="I78" s="382"/>
      <c r="J78" s="1176"/>
      <c r="K78" s="391"/>
      <c r="L78" s="361">
        <f t="shared" ref="L78:L92" si="24">(G78-G61)/G61</f>
        <v>0.45454545454545436</v>
      </c>
      <c r="O78" t="s">
        <v>725</v>
      </c>
      <c r="P78">
        <v>10587</v>
      </c>
      <c r="T78" s="25">
        <v>10</v>
      </c>
      <c r="U78" s="1270" t="s">
        <v>744</v>
      </c>
      <c r="V78" s="1271"/>
      <c r="W78" s="1272"/>
      <c r="X78" s="919">
        <v>3.4</v>
      </c>
      <c r="Y78" s="917">
        <v>130.19999999999999</v>
      </c>
      <c r="Z78" s="919">
        <f t="shared" si="23"/>
        <v>442.67999999999995</v>
      </c>
      <c r="AA78" s="25" t="s">
        <v>775</v>
      </c>
    </row>
    <row r="79" spans="1:28" ht="14.5" x14ac:dyDescent="0.7">
      <c r="A79" s="1161"/>
      <c r="B79" t="s">
        <v>684</v>
      </c>
      <c r="C79" s="342">
        <f>75108</f>
        <v>75108</v>
      </c>
      <c r="D79" s="343">
        <f>65</f>
        <v>65</v>
      </c>
      <c r="E79" s="343">
        <f>D79*$R$12*$E$6/1000</f>
        <v>17.197559973245543</v>
      </c>
      <c r="F79" s="343">
        <f>D79*(($S$12*$E$6+($T$12+$Y$12)*$F$6))/1000</f>
        <v>2.5833912434268052</v>
      </c>
      <c r="G79" s="721">
        <f>E79+F79</f>
        <v>19.780951216672349</v>
      </c>
      <c r="H79" s="382">
        <f>G79+G78+G77</f>
        <v>78.074353274223881</v>
      </c>
      <c r="I79" s="382"/>
      <c r="J79" s="1176"/>
      <c r="K79" s="391"/>
      <c r="L79" s="361">
        <f t="shared" si="24"/>
        <v>0.91176470588235348</v>
      </c>
      <c r="O79" s="48" t="s">
        <v>3</v>
      </c>
      <c r="P79" s="48">
        <f>P77-P78</f>
        <v>45422</v>
      </c>
      <c r="T79">
        <v>12</v>
      </c>
      <c r="U79" s="1267" t="s">
        <v>745</v>
      </c>
      <c r="V79" s="1268"/>
      <c r="W79" s="1269"/>
      <c r="X79" s="922">
        <v>0</v>
      </c>
      <c r="Y79" s="922">
        <v>132.1</v>
      </c>
      <c r="Z79" s="922">
        <f t="shared" si="23"/>
        <v>0</v>
      </c>
    </row>
    <row r="80" spans="1:28" ht="14.25" x14ac:dyDescent="0.65">
      <c r="A80" s="1161"/>
      <c r="B80" t="s">
        <v>686</v>
      </c>
      <c r="C80" s="342">
        <f>75108*3</f>
        <v>225324</v>
      </c>
      <c r="D80" s="343">
        <f>65*3</f>
        <v>195</v>
      </c>
      <c r="E80" s="343">
        <f>D80*$R$13*$E$6/1000</f>
        <v>25.51878350046551</v>
      </c>
      <c r="F80" s="343">
        <f>D80*(($S$13*$E$6+($T$13+$Y$13)*$F$6))/1000</f>
        <v>1.2691233926546759</v>
      </c>
      <c r="G80" s="721">
        <f t="shared" ref="G80" si="25">E80+F80</f>
        <v>26.787906893120187</v>
      </c>
      <c r="H80" s="382">
        <f>SUM(G77:G80)</f>
        <v>104.86226016734406</v>
      </c>
      <c r="I80" s="382"/>
      <c r="J80" s="1176"/>
      <c r="K80" s="391"/>
      <c r="L80" s="361">
        <f t="shared" si="24"/>
        <v>0.91176470588235303</v>
      </c>
      <c r="U80" s="1267" t="s">
        <v>746</v>
      </c>
      <c r="V80" s="1268"/>
      <c r="W80" s="1269"/>
      <c r="X80" s="922">
        <v>0</v>
      </c>
      <c r="Y80" s="922"/>
      <c r="Z80" s="922">
        <f t="shared" si="23"/>
        <v>0</v>
      </c>
    </row>
    <row r="81" spans="1:27" ht="14.25" x14ac:dyDescent="0.65">
      <c r="A81" s="1161"/>
      <c r="B81" t="s">
        <v>687</v>
      </c>
      <c r="C81" s="342">
        <f>SUM(C77:C80)</f>
        <v>627225</v>
      </c>
      <c r="D81" s="343">
        <f>SUM(D77:D80)</f>
        <v>415</v>
      </c>
      <c r="E81" s="343">
        <f t="shared" ref="E81" si="26">SUM(E77:E80)</f>
        <v>91.454237756475408</v>
      </c>
      <c r="F81" s="343">
        <f t="shared" ref="F81" si="27">SUM(F77:F80)</f>
        <v>13.408022410868657</v>
      </c>
      <c r="G81" s="721">
        <f>E81+F81</f>
        <v>104.86226016734406</v>
      </c>
      <c r="H81" s="382">
        <f>G81</f>
        <v>104.86226016734406</v>
      </c>
      <c r="I81" s="382">
        <f>D81</f>
        <v>415</v>
      </c>
      <c r="J81" s="1176"/>
      <c r="K81" s="391">
        <f>(D81-D64)/D64</f>
        <v>0.72916666666666663</v>
      </c>
      <c r="L81" s="361">
        <f t="shared" si="24"/>
        <v>0.65182235202740446</v>
      </c>
      <c r="T81">
        <v>14</v>
      </c>
      <c r="U81" s="1267" t="s">
        <v>760</v>
      </c>
      <c r="V81" s="1268"/>
      <c r="W81" s="1269"/>
      <c r="X81" s="923">
        <v>0</v>
      </c>
      <c r="Y81" s="922">
        <v>4039.1</v>
      </c>
      <c r="Z81" s="922">
        <f t="shared" si="23"/>
        <v>0</v>
      </c>
    </row>
    <row r="82" spans="1:27" ht="14.25" x14ac:dyDescent="0.65">
      <c r="A82" s="1161"/>
      <c r="B82" t="s">
        <v>688</v>
      </c>
      <c r="C82" s="342">
        <v>25785</v>
      </c>
      <c r="D82" s="343">
        <v>49</v>
      </c>
      <c r="E82" s="343">
        <f>D82*$R$15*$E$6/1000</f>
        <v>149.77505914</v>
      </c>
      <c r="F82" s="343">
        <f>D82*(($S$15*$E$6+($T$15+$Y$15)*$F$6))/1000</f>
        <v>45.002651510642387</v>
      </c>
      <c r="G82" s="721">
        <f t="shared" ref="G82:G84" si="28">E82+F82</f>
        <v>194.77771065064238</v>
      </c>
      <c r="H82" s="382">
        <f>G82+G81</f>
        <v>299.63997081798641</v>
      </c>
      <c r="I82" s="382"/>
      <c r="J82" s="1176"/>
      <c r="K82" s="391"/>
      <c r="L82" s="361">
        <f t="shared" si="24"/>
        <v>-7.5471698113207697E-2</v>
      </c>
      <c r="T82">
        <v>2</v>
      </c>
      <c r="U82" s="1270" t="s">
        <v>761</v>
      </c>
      <c r="V82" s="1271"/>
      <c r="W82" s="1272"/>
      <c r="X82" s="919">
        <v>-2.2999999999999998</v>
      </c>
      <c r="Y82" s="919">
        <v>1708</v>
      </c>
      <c r="Z82" s="919">
        <f t="shared" si="23"/>
        <v>-3928.3999999999996</v>
      </c>
    </row>
    <row r="83" spans="1:27" ht="14.25" x14ac:dyDescent="0.65">
      <c r="A83" s="1161"/>
      <c r="B83" t="s">
        <v>689</v>
      </c>
      <c r="C83" s="342">
        <v>22829</v>
      </c>
      <c r="D83" s="343">
        <v>19</v>
      </c>
      <c r="E83" s="343">
        <f>D83*$R$16*$E$6/1000</f>
        <v>39.237740605980001</v>
      </c>
      <c r="F83" s="343">
        <f>D83*(($S$16*$E$6+($T$16+$Y$16)*$F$6))/1000</f>
        <v>2.1098766726491358</v>
      </c>
      <c r="G83" s="721">
        <f t="shared" si="28"/>
        <v>41.347617278629137</v>
      </c>
      <c r="H83" s="382">
        <f>G83+G82+G81</f>
        <v>340.98758809661558</v>
      </c>
      <c r="I83" s="382"/>
      <c r="J83" s="1176"/>
      <c r="K83" s="391"/>
      <c r="L83" s="361">
        <f t="shared" si="24"/>
        <v>0.72727272727272729</v>
      </c>
      <c r="T83">
        <v>1</v>
      </c>
      <c r="U83" s="1270" t="s">
        <v>747</v>
      </c>
      <c r="V83" s="1271"/>
      <c r="W83" s="1272"/>
      <c r="X83" s="919">
        <v>-0.3</v>
      </c>
      <c r="Y83" s="919">
        <v>173.7</v>
      </c>
      <c r="Z83" s="919">
        <f t="shared" si="23"/>
        <v>-52.109999999999992</v>
      </c>
    </row>
    <row r="84" spans="1:27" ht="14.25" x14ac:dyDescent="0.65">
      <c r="A84" s="1161"/>
      <c r="B84" t="s">
        <v>691</v>
      </c>
      <c r="C84" s="342">
        <v>32122</v>
      </c>
      <c r="D84" s="343">
        <v>36</v>
      </c>
      <c r="E84" s="343">
        <f>D84*$R$17*$E$6/1000</f>
        <v>35.707626158399997</v>
      </c>
      <c r="F84" s="343">
        <f>D84*(($S$17*$E$6+($T$17+$Y$17)*$F$6))/1000</f>
        <v>10.060493232201805</v>
      </c>
      <c r="G84" s="722">
        <f t="shared" si="28"/>
        <v>45.768119390601804</v>
      </c>
      <c r="H84" s="382">
        <f>G84+G83+G82+G81</f>
        <v>386.75570748721736</v>
      </c>
      <c r="I84" s="382"/>
      <c r="J84" s="1176"/>
      <c r="K84" s="391"/>
      <c r="L84" s="361">
        <f t="shared" si="24"/>
        <v>-0.14285714285714277</v>
      </c>
      <c r="T84">
        <v>4</v>
      </c>
      <c r="U84" s="1270" t="s">
        <v>748</v>
      </c>
      <c r="V84" s="1271"/>
      <c r="W84" s="1272"/>
      <c r="X84" s="919">
        <v>-0.3</v>
      </c>
      <c r="Y84" s="919">
        <v>660.4</v>
      </c>
      <c r="Z84" s="919">
        <f t="shared" si="23"/>
        <v>-198.11999999999998</v>
      </c>
    </row>
    <row r="85" spans="1:27" ht="14.25" x14ac:dyDescent="0.65">
      <c r="A85" s="1161"/>
      <c r="B85" t="s">
        <v>693</v>
      </c>
      <c r="C85" s="342">
        <f>SUM(C82:C84)</f>
        <v>80736</v>
      </c>
      <c r="D85" s="342">
        <f>SUM(D82:D84)</f>
        <v>104</v>
      </c>
      <c r="E85" s="343">
        <f>SUM(E82:E84)</f>
        <v>224.72042590437999</v>
      </c>
      <c r="F85" s="343">
        <f>SUM(F82:F84)</f>
        <v>57.173021415493331</v>
      </c>
      <c r="G85" s="722">
        <f>E85+F85</f>
        <v>281.8934473198733</v>
      </c>
      <c r="H85" s="382">
        <f>G85+G81</f>
        <v>386.75570748721736</v>
      </c>
      <c r="I85" s="382">
        <f>D85+I81</f>
        <v>519</v>
      </c>
      <c r="J85" s="1176"/>
      <c r="K85" s="391">
        <f>(D85-D68)/D68</f>
        <v>-1.8867924528301886E-2</v>
      </c>
      <c r="L85" s="361">
        <f t="shared" si="24"/>
        <v>-2.1244651600705773E-2</v>
      </c>
      <c r="T85">
        <v>3</v>
      </c>
      <c r="U85" s="1270" t="s">
        <v>749</v>
      </c>
      <c r="V85" s="1271"/>
      <c r="W85" s="1272"/>
      <c r="X85" s="919">
        <v>-0.3</v>
      </c>
      <c r="Y85" s="919">
        <v>8</v>
      </c>
      <c r="Z85" s="919">
        <f t="shared" si="23"/>
        <v>-2.4</v>
      </c>
      <c r="AA85">
        <f>SUM(Z82:Z85)</f>
        <v>-4181.03</v>
      </c>
    </row>
    <row r="86" spans="1:27" ht="14.25" x14ac:dyDescent="0.65">
      <c r="A86" s="1161"/>
      <c r="B86" t="s">
        <v>694</v>
      </c>
      <c r="C86" s="342">
        <v>42</v>
      </c>
      <c r="D86" s="343">
        <v>11</v>
      </c>
      <c r="E86" s="343">
        <f>D86*$R$20*$E$6/1000</f>
        <v>0.46200000000000002</v>
      </c>
      <c r="F86" s="343">
        <f>D86*(($S$20*$E$6+($T$20+$Y$19)*$F$6))/1000</f>
        <v>1.9533335249999999</v>
      </c>
      <c r="G86" s="722">
        <f>E86+F86</f>
        <v>2.4153335249999999</v>
      </c>
      <c r="H86" s="382">
        <f>H85+G86</f>
        <v>389.17104101221736</v>
      </c>
      <c r="I86" s="382"/>
      <c r="J86" s="1176"/>
      <c r="K86" s="391"/>
      <c r="L86" s="361">
        <f t="shared" si="24"/>
        <v>0.10000000000000002</v>
      </c>
      <c r="T86">
        <v>13</v>
      </c>
      <c r="U86" s="1267" t="s">
        <v>750</v>
      </c>
      <c r="V86" s="1268"/>
      <c r="W86" s="1269"/>
      <c r="X86" s="922">
        <v>0</v>
      </c>
      <c r="Y86" s="922">
        <v>132.30000000000001</v>
      </c>
      <c r="Z86" s="922">
        <f t="shared" si="23"/>
        <v>0</v>
      </c>
    </row>
    <row r="87" spans="1:27" ht="14.25" x14ac:dyDescent="0.65">
      <c r="A87" s="1161"/>
      <c r="B87" t="s">
        <v>695</v>
      </c>
      <c r="C87" s="342">
        <v>3021</v>
      </c>
      <c r="D87" s="343">
        <v>801</v>
      </c>
      <c r="E87" s="343">
        <f>D87*$R$20*$E$6/1000</f>
        <v>33.642000000000003</v>
      </c>
      <c r="F87" s="343">
        <f>D87*(($S$20*$E$6+($T$20+$Y$20)*$F$6))/1000</f>
        <v>142.23819577500001</v>
      </c>
      <c r="G87" s="721">
        <f t="shared" ref="G87:G92" si="29">E87+F87</f>
        <v>175.880195775</v>
      </c>
      <c r="H87" s="382">
        <f>G87+G85+G84+G86</f>
        <v>505.95709601047508</v>
      </c>
      <c r="I87" s="382"/>
      <c r="J87" s="1176"/>
      <c r="K87" s="391"/>
      <c r="L87" s="361">
        <f t="shared" si="24"/>
        <v>0</v>
      </c>
      <c r="T87" s="25" t="s">
        <v>970</v>
      </c>
      <c r="U87" s="1270" t="s">
        <v>751</v>
      </c>
      <c r="V87" s="1271"/>
      <c r="W87" s="1272"/>
      <c r="X87" s="919">
        <v>-2.1</v>
      </c>
      <c r="Y87" s="919">
        <v>0.2</v>
      </c>
      <c r="Z87" s="919">
        <f t="shared" si="23"/>
        <v>-0.42000000000000004</v>
      </c>
      <c r="AA87">
        <f>SUM(Z82:Z87)</f>
        <v>-4181.45</v>
      </c>
    </row>
    <row r="88" spans="1:27" ht="14.25" x14ac:dyDescent="0.65">
      <c r="A88" s="1161"/>
      <c r="B88" t="s">
        <v>696</v>
      </c>
      <c r="C88" s="342">
        <v>39505</v>
      </c>
      <c r="D88" s="343">
        <v>6650</v>
      </c>
      <c r="E88" s="343">
        <f>D88*$R$21*$E$6/1000</f>
        <v>279.3</v>
      </c>
      <c r="F88" s="343">
        <f>D88*(($S$21*$E$6+($T$21+$Y$21)*$F$6))/1000</f>
        <v>1138.1790208909106</v>
      </c>
      <c r="G88" s="721">
        <f t="shared" si="29"/>
        <v>1417.4790208909105</v>
      </c>
      <c r="H88" s="382">
        <f>G88+G84+G86</f>
        <v>1465.6624738065125</v>
      </c>
      <c r="I88" s="382"/>
      <c r="J88" s="1176"/>
      <c r="K88" s="391">
        <f>(D88-D71)/D71</f>
        <v>1.8297872340425532</v>
      </c>
      <c r="L88" s="361">
        <f t="shared" si="24"/>
        <v>1.8297872340425532</v>
      </c>
      <c r="T88" s="25">
        <v>7</v>
      </c>
      <c r="U88" s="1273" t="s">
        <v>752</v>
      </c>
      <c r="V88" s="1274"/>
      <c r="W88" s="1275"/>
      <c r="X88" s="919">
        <v>5.7</v>
      </c>
      <c r="Y88" s="919">
        <v>2038</v>
      </c>
      <c r="Z88" s="919">
        <f t="shared" si="23"/>
        <v>11616.6</v>
      </c>
    </row>
    <row r="89" spans="1:27" ht="14.25" x14ac:dyDescent="0.65">
      <c r="A89" s="1161"/>
      <c r="B89" t="s">
        <v>697</v>
      </c>
      <c r="C89" s="342">
        <f>SUM(C86:C88)</f>
        <v>42568</v>
      </c>
      <c r="D89" s="343">
        <f>SUM(D86:D88)</f>
        <v>7462</v>
      </c>
      <c r="E89" s="343">
        <f>SUM(E86:E88)</f>
        <v>313.404</v>
      </c>
      <c r="F89" s="343">
        <f>SUM(F86:F88)</f>
        <v>1282.3705501909105</v>
      </c>
      <c r="G89" s="721">
        <f t="shared" si="29"/>
        <v>1595.7745501909105</v>
      </c>
      <c r="H89" s="382">
        <f>G89</f>
        <v>1595.7745501909105</v>
      </c>
      <c r="I89" s="382">
        <f>D89+I85</f>
        <v>7981</v>
      </c>
      <c r="J89" s="1176"/>
      <c r="K89" s="391">
        <f>(D89-D72)/D72</f>
        <v>1.3606453653906991</v>
      </c>
      <c r="L89" s="361">
        <f t="shared" si="24"/>
        <v>1.3502194552750191</v>
      </c>
      <c r="T89" s="25">
        <v>16</v>
      </c>
      <c r="U89" s="1270" t="s">
        <v>753</v>
      </c>
      <c r="V89" s="1271"/>
      <c r="W89" s="1272"/>
      <c r="X89" s="919">
        <v>13.4</v>
      </c>
      <c r="Y89" s="951">
        <v>834.2</v>
      </c>
      <c r="Z89" s="919">
        <f>Y89*X89</f>
        <v>11178.28</v>
      </c>
      <c r="AA89" s="25"/>
    </row>
    <row r="90" spans="1:27" ht="14.25" x14ac:dyDescent="0.65">
      <c r="A90" s="1161"/>
      <c r="B90" t="s">
        <v>698</v>
      </c>
      <c r="C90" s="342">
        <v>58535</v>
      </c>
      <c r="D90" s="343">
        <v>464</v>
      </c>
      <c r="E90" s="343">
        <f>D90*$R$23*$E$6/1000</f>
        <v>233.85601863935037</v>
      </c>
      <c r="F90" s="343">
        <f>D90*(($S$23*$E$6+($T$23+$Y$23)*$F$6))/1000</f>
        <v>24.89257865281342</v>
      </c>
      <c r="G90" s="721">
        <f t="shared" si="29"/>
        <v>258.74859729216377</v>
      </c>
      <c r="H90" s="382">
        <f>G89+G90</f>
        <v>1854.5231474830744</v>
      </c>
      <c r="I90" s="382">
        <f>I89+D90</f>
        <v>8445</v>
      </c>
      <c r="J90" s="1176"/>
      <c r="K90" s="391">
        <f>(D90-D73)/D73</f>
        <v>0.12077294685990338</v>
      </c>
      <c r="L90" s="361">
        <f t="shared" si="24"/>
        <v>0.12077294685990321</v>
      </c>
      <c r="T90" s="25" t="s">
        <v>506</v>
      </c>
      <c r="U90" s="1270" t="s">
        <v>754</v>
      </c>
      <c r="V90" s="1271"/>
      <c r="W90" s="1272"/>
      <c r="X90" s="919">
        <v>13.6</v>
      </c>
      <c r="Y90" s="951"/>
      <c r="Z90" s="919">
        <f>Y90*X90</f>
        <v>0</v>
      </c>
      <c r="AA90" s="25"/>
    </row>
    <row r="91" spans="1:27" ht="14.25" x14ac:dyDescent="0.65">
      <c r="A91" s="1161"/>
      <c r="B91" t="s">
        <v>699</v>
      </c>
      <c r="C91" s="342">
        <v>1621</v>
      </c>
      <c r="D91" s="343">
        <v>36</v>
      </c>
      <c r="E91" s="343">
        <f>D91*$R$24*$E$6/1000</f>
        <v>5.04</v>
      </c>
      <c r="F91" s="343">
        <f>D91*(($S$24*$E$6+($T$24+$Y$24)*$F$6))/1000</f>
        <v>1.5431143510584002</v>
      </c>
      <c r="G91" s="721">
        <f t="shared" si="29"/>
        <v>6.5831143510584003</v>
      </c>
      <c r="H91" s="382">
        <f>SUM(G89:G91)</f>
        <v>1861.1062618341327</v>
      </c>
      <c r="I91" s="382">
        <f>D91+I90</f>
        <v>8481</v>
      </c>
      <c r="J91" s="1176"/>
      <c r="K91" s="391">
        <f>(D91-D74)/D74</f>
        <v>3.5</v>
      </c>
      <c r="L91" s="361">
        <f t="shared" si="24"/>
        <v>3.5</v>
      </c>
      <c r="U91" s="1270" t="s">
        <v>3</v>
      </c>
      <c r="V91" s="1271"/>
      <c r="W91" s="1272"/>
      <c r="X91" s="919"/>
      <c r="Y91" s="919"/>
      <c r="Z91" s="919">
        <f>SUM(Z75:Z90)</f>
        <v>107980.10000000002</v>
      </c>
      <c r="AA91">
        <f>Z91-AA87</f>
        <v>112161.55000000002</v>
      </c>
    </row>
    <row r="92" spans="1:27" ht="15" thickBot="1" x14ac:dyDescent="0.8">
      <c r="A92" s="1175"/>
      <c r="B92" t="s">
        <v>701</v>
      </c>
      <c r="C92" s="350">
        <v>840842</v>
      </c>
      <c r="D92" s="351">
        <v>66089</v>
      </c>
      <c r="E92" s="343">
        <f>D92*$R$25*$E$6/1000</f>
        <v>37.009817794096001</v>
      </c>
      <c r="F92" s="343">
        <f>D92*(($S$25*$E$6+($T$25+$Y$25)*$F$6))/1000</f>
        <v>367.55273880762314</v>
      </c>
      <c r="G92" s="723">
        <f t="shared" si="29"/>
        <v>404.56255660171917</v>
      </c>
      <c r="H92" s="382">
        <f>SUM(G89:G92)+G85+G81</f>
        <v>2652.4245259230693</v>
      </c>
      <c r="I92" s="382">
        <f>I91+D92</f>
        <v>74570</v>
      </c>
      <c r="J92" s="1176"/>
      <c r="K92" s="391">
        <f>(D92-D75)/D75</f>
        <v>-9.5328049498309447E-2</v>
      </c>
      <c r="L92" s="361">
        <f t="shared" si="24"/>
        <v>-9.5328049498309295E-2</v>
      </c>
    </row>
    <row r="93" spans="1:27" ht="15" thickBot="1" x14ac:dyDescent="0.75">
      <c r="A93" s="354" t="s">
        <v>3</v>
      </c>
      <c r="B93" s="355">
        <f>A77</f>
        <v>2020</v>
      </c>
      <c r="C93" s="356">
        <f>SUM(C89:C92)</f>
        <v>943566</v>
      </c>
      <c r="D93" s="356"/>
      <c r="E93" s="387">
        <f>SUM(E89:E92)+E85+E81</f>
        <v>905.48450009430178</v>
      </c>
      <c r="F93" s="387">
        <f>SUM(F89:F92)+F85+F81</f>
        <v>1746.9400258287676</v>
      </c>
      <c r="G93" s="724">
        <f>E93+F93</f>
        <v>2652.4245259230693</v>
      </c>
      <c r="H93" s="357">
        <f>H92</f>
        <v>2652.4245259230693</v>
      </c>
      <c r="I93" s="357">
        <f>SUM(I89:I92)</f>
        <v>99477</v>
      </c>
      <c r="J93" s="1177"/>
      <c r="K93" s="372">
        <f>(I93-I76)/I76</f>
        <v>0.12608247772784387</v>
      </c>
      <c r="L93" s="373">
        <f>(G93-G76)/G76</f>
        <v>0.5511198309414751</v>
      </c>
      <c r="Y93">
        <f>SUM(Y77:Y90)</f>
        <v>25456.900000000005</v>
      </c>
      <c r="Z93" s="25" t="s">
        <v>966</v>
      </c>
      <c r="AA93">
        <f>Y89+Y90</f>
        <v>834.2</v>
      </c>
    </row>
    <row r="94" spans="1:27" ht="14.25" x14ac:dyDescent="0.65">
      <c r="A94" s="1161">
        <v>2021</v>
      </c>
      <c r="B94" t="s">
        <v>674</v>
      </c>
      <c r="C94" s="334">
        <v>301073</v>
      </c>
      <c r="D94" s="335">
        <v>139</v>
      </c>
      <c r="E94" s="335">
        <f>D94*$R$10*$E$6/1000</f>
        <v>43.386529839469837</v>
      </c>
      <c r="F94" s="335">
        <f>D94*(($S$10*$E$6+($T$10+$Y$10)*$F$6))/1000</f>
        <v>8.3099644305230616</v>
      </c>
      <c r="G94" s="720">
        <f>E94+F94</f>
        <v>51.696494269992897</v>
      </c>
      <c r="H94" s="381">
        <f>G94</f>
        <v>51.696494269992897</v>
      </c>
      <c r="I94" s="381"/>
      <c r="J94" s="1176" t="str">
        <f>"Milli áranna "&amp; $A77 &amp;" og "&amp; $A94</f>
        <v>Milli áranna 2020 og 2021</v>
      </c>
      <c r="K94" s="390"/>
      <c r="L94" s="361">
        <f>(G94-G77)/G77</f>
        <v>0</v>
      </c>
      <c r="X94" s="25" t="s">
        <v>965</v>
      </c>
      <c r="Y94">
        <v>27361</v>
      </c>
      <c r="Z94" s="25" t="s">
        <v>966</v>
      </c>
    </row>
    <row r="95" spans="1:27" ht="14.25" x14ac:dyDescent="0.65">
      <c r="A95" s="1161"/>
      <c r="B95" t="s">
        <v>682</v>
      </c>
      <c r="C95" s="342">
        <v>10978</v>
      </c>
      <c r="D95" s="343">
        <v>16</v>
      </c>
      <c r="E95" s="343">
        <f>D95*$R$11*$E$6/1000</f>
        <v>5.3513644432945222</v>
      </c>
      <c r="F95" s="343">
        <f>D95*(($S$11*$E$6+($T$11+$Y$11)*$F$6))/1000</f>
        <v>1.2455433442641151</v>
      </c>
      <c r="G95" s="721">
        <f>E95+F95</f>
        <v>6.5969077875586368</v>
      </c>
      <c r="H95" s="382">
        <f>G95+G94</f>
        <v>58.293402057551532</v>
      </c>
      <c r="I95" s="382"/>
      <c r="J95" s="1176"/>
      <c r="K95" s="391"/>
      <c r="L95" s="361">
        <f t="shared" ref="L95:L109" si="30">(G95-G78)/G78</f>
        <v>0</v>
      </c>
      <c r="Z95" s="25" t="s">
        <v>967</v>
      </c>
    </row>
    <row r="96" spans="1:27" ht="14.25" x14ac:dyDescent="0.65">
      <c r="A96" s="1161"/>
      <c r="B96" t="s">
        <v>684</v>
      </c>
      <c r="C96" s="342">
        <v>67063</v>
      </c>
      <c r="D96" s="343">
        <f>65</f>
        <v>65</v>
      </c>
      <c r="E96" s="343">
        <f>D96*$R$12*$E$6/1000</f>
        <v>17.197559973245543</v>
      </c>
      <c r="F96" s="343">
        <f>D96*(($S$12*$E$6+($T$12+$Y$12)*$F$6))/1000</f>
        <v>2.5833912434268052</v>
      </c>
      <c r="G96" s="721">
        <f>E96+F96</f>
        <v>19.780951216672349</v>
      </c>
      <c r="H96" s="382">
        <f>G96+G95+G94</f>
        <v>78.074353274223881</v>
      </c>
      <c r="I96" s="382"/>
      <c r="J96" s="1176"/>
      <c r="K96" s="391"/>
      <c r="L96" s="361">
        <f t="shared" si="30"/>
        <v>0</v>
      </c>
    </row>
    <row r="97" spans="1:25" ht="14.25" x14ac:dyDescent="0.65">
      <c r="A97" s="1161"/>
      <c r="B97" t="s">
        <v>686</v>
      </c>
      <c r="C97" s="342">
        <v>8133</v>
      </c>
      <c r="D97" s="343">
        <f>65*3</f>
        <v>195</v>
      </c>
      <c r="E97" s="343">
        <f>D97*$R$13*$E$6/1000</f>
        <v>25.51878350046551</v>
      </c>
      <c r="F97" s="343">
        <f>D97*(($S$13*$E$6+($T$13+$Y$13)*$F$6))/1000</f>
        <v>1.2691233926546759</v>
      </c>
      <c r="G97" s="721">
        <f t="shared" ref="G97" si="31">E97+F97</f>
        <v>26.787906893120187</v>
      </c>
      <c r="H97" s="382">
        <f>SUM(G94:G97)</f>
        <v>104.86226016734406</v>
      </c>
      <c r="I97" s="382"/>
      <c r="J97" s="1176"/>
      <c r="K97" s="391"/>
      <c r="L97" s="361">
        <f t="shared" si="30"/>
        <v>0</v>
      </c>
      <c r="X97" s="25" t="s">
        <v>969</v>
      </c>
      <c r="Y97">
        <v>3002</v>
      </c>
    </row>
    <row r="98" spans="1:25" ht="14.25" x14ac:dyDescent="0.65">
      <c r="A98" s="1161"/>
      <c r="B98" t="s">
        <v>687</v>
      </c>
      <c r="C98" s="342">
        <f>SUM(C94:C97)</f>
        <v>387247</v>
      </c>
      <c r="D98" s="343">
        <f>SUM(D94:D97)</f>
        <v>415</v>
      </c>
      <c r="E98" s="343">
        <f t="shared" ref="E98:F98" si="32">SUM(E94:E97)</f>
        <v>91.454237756475408</v>
      </c>
      <c r="F98" s="343">
        <f t="shared" si="32"/>
        <v>13.408022410868657</v>
      </c>
      <c r="G98" s="721">
        <f>E98+F98</f>
        <v>104.86226016734406</v>
      </c>
      <c r="H98" s="382">
        <f>G98</f>
        <v>104.86226016734406</v>
      </c>
      <c r="I98" s="382">
        <f>D98</f>
        <v>415</v>
      </c>
      <c r="J98" s="1176"/>
      <c r="K98" s="391">
        <f>(D98-D81)/D81</f>
        <v>0</v>
      </c>
      <c r="L98" s="361">
        <f t="shared" si="30"/>
        <v>0</v>
      </c>
      <c r="Y98">
        <v>1059</v>
      </c>
    </row>
    <row r="99" spans="1:25" ht="14.25" x14ac:dyDescent="0.65">
      <c r="A99" s="1161"/>
      <c r="B99" t="s">
        <v>688</v>
      </c>
      <c r="C99" s="342">
        <v>25896</v>
      </c>
      <c r="D99" s="343">
        <v>49</v>
      </c>
      <c r="E99" s="343">
        <f>D99*$R$15*$E$6/1000</f>
        <v>149.77505914</v>
      </c>
      <c r="F99" s="343">
        <f>D99*(($S$15*$E$6+($T$15+$Y$15)*$F$6))/1000</f>
        <v>45.002651510642387</v>
      </c>
      <c r="G99" s="721">
        <f t="shared" ref="G99:G101" si="33">E99+F99</f>
        <v>194.77771065064238</v>
      </c>
      <c r="H99" s="382">
        <f>G99+G98</f>
        <v>299.63997081798641</v>
      </c>
      <c r="I99" s="382"/>
      <c r="J99" s="1176"/>
      <c r="K99" s="391"/>
      <c r="L99" s="361">
        <f t="shared" si="30"/>
        <v>0</v>
      </c>
      <c r="Y99">
        <v>1469</v>
      </c>
    </row>
    <row r="100" spans="1:25" ht="14.25" x14ac:dyDescent="0.65">
      <c r="A100" s="1161"/>
      <c r="B100" t="s">
        <v>689</v>
      </c>
      <c r="C100" s="342">
        <v>22829</v>
      </c>
      <c r="D100" s="343">
        <v>19</v>
      </c>
      <c r="E100" s="343">
        <f>D100*$R$16*$E$6/1000</f>
        <v>39.237740605980001</v>
      </c>
      <c r="F100" s="343">
        <f>D100*(($S$16*$E$6+($T$16+$Y$16)*$F$6))/1000</f>
        <v>2.1098766726491358</v>
      </c>
      <c r="G100" s="721">
        <f t="shared" si="33"/>
        <v>41.347617278629137</v>
      </c>
      <c r="H100" s="382">
        <f>G100+G99+G98</f>
        <v>340.98758809661558</v>
      </c>
      <c r="I100" s="382"/>
      <c r="J100" s="1176"/>
      <c r="K100" s="391"/>
      <c r="L100" s="361">
        <f t="shared" si="30"/>
        <v>0</v>
      </c>
    </row>
    <row r="101" spans="1:25" ht="14.25" x14ac:dyDescent="0.65">
      <c r="A101" s="1161"/>
      <c r="B101" t="s">
        <v>691</v>
      </c>
      <c r="C101" s="342">
        <v>32122</v>
      </c>
      <c r="D101" s="343">
        <v>36</v>
      </c>
      <c r="E101" s="343">
        <f>D101*$R$17*$E$6/1000</f>
        <v>35.707626158399997</v>
      </c>
      <c r="F101" s="343">
        <f>D101*(($S$17*$E$6+($T$17+$Y$17)*$F$6))/1000</f>
        <v>10.060493232201805</v>
      </c>
      <c r="G101" s="722">
        <f t="shared" si="33"/>
        <v>45.768119390601804</v>
      </c>
      <c r="H101" s="382">
        <f>G101+G100+G99+G98</f>
        <v>386.75570748721736</v>
      </c>
      <c r="I101" s="382"/>
      <c r="J101" s="1176"/>
      <c r="K101" s="391"/>
      <c r="L101" s="361">
        <f t="shared" si="30"/>
        <v>0</v>
      </c>
    </row>
    <row r="102" spans="1:25" ht="14.25" x14ac:dyDescent="0.65">
      <c r="A102" s="1161"/>
      <c r="B102" t="s">
        <v>693</v>
      </c>
      <c r="C102" s="342">
        <f>SUM(C99:C101)</f>
        <v>80847</v>
      </c>
      <c r="D102" s="342">
        <f>SUM(D99:D101)</f>
        <v>104</v>
      </c>
      <c r="E102" s="343">
        <f>SUM(E99:E101)</f>
        <v>224.72042590437999</v>
      </c>
      <c r="F102" s="343">
        <f>SUM(F99:F101)</f>
        <v>57.173021415493331</v>
      </c>
      <c r="G102" s="722">
        <f>E102+F102</f>
        <v>281.8934473198733</v>
      </c>
      <c r="H102" s="382">
        <f>G102+G98</f>
        <v>386.75570748721736</v>
      </c>
      <c r="I102" s="382">
        <f>D102+I98</f>
        <v>519</v>
      </c>
      <c r="J102" s="1176"/>
      <c r="K102" s="391">
        <f>(D102-D85)/D85</f>
        <v>0</v>
      </c>
      <c r="L102" s="361">
        <f t="shared" si="30"/>
        <v>0</v>
      </c>
    </row>
    <row r="103" spans="1:25" ht="14.25" x14ac:dyDescent="0.65">
      <c r="A103" s="1161"/>
      <c r="B103" t="s">
        <v>694</v>
      </c>
      <c r="C103" s="342">
        <v>42</v>
      </c>
      <c r="D103" s="343">
        <v>11</v>
      </c>
      <c r="E103" s="343">
        <f>D103*$R$20*$E$6/1000</f>
        <v>0.46200000000000002</v>
      </c>
      <c r="F103" s="343">
        <f>D103*(($S$20*$E$6+($T$20+$Y$19)*$F$6))/1000</f>
        <v>1.9533335249999999</v>
      </c>
      <c r="G103" s="722">
        <f>E103+F103</f>
        <v>2.4153335249999999</v>
      </c>
      <c r="H103" s="382">
        <f>H102+G103</f>
        <v>389.17104101221736</v>
      </c>
      <c r="I103" s="382"/>
      <c r="J103" s="1176"/>
      <c r="K103" s="391"/>
      <c r="L103" s="361">
        <f t="shared" si="30"/>
        <v>0</v>
      </c>
    </row>
    <row r="104" spans="1:25" ht="14.25" x14ac:dyDescent="0.65">
      <c r="A104" s="1161"/>
      <c r="B104" t="s">
        <v>695</v>
      </c>
      <c r="C104" s="342">
        <v>3021</v>
      </c>
      <c r="D104" s="343">
        <v>801</v>
      </c>
      <c r="E104" s="343">
        <f>D104*$R$20*$E$6/1000</f>
        <v>33.642000000000003</v>
      </c>
      <c r="F104" s="343">
        <f>D104*(($S$20*$E$6+($T$20+$Y$20)*$F$6))/1000</f>
        <v>142.23819577500001</v>
      </c>
      <c r="G104" s="721">
        <f t="shared" ref="G104:G109" si="34">E104+F104</f>
        <v>175.880195775</v>
      </c>
      <c r="H104" s="382">
        <f>G104+G102+G101+G103</f>
        <v>505.95709601047508</v>
      </c>
      <c r="I104" s="382"/>
      <c r="J104" s="1176"/>
      <c r="K104" s="391"/>
      <c r="L104" s="361">
        <f t="shared" si="30"/>
        <v>0</v>
      </c>
    </row>
    <row r="105" spans="1:25" ht="14.25" x14ac:dyDescent="0.65">
      <c r="A105" s="1161"/>
      <c r="B105" t="s">
        <v>696</v>
      </c>
      <c r="C105" s="342">
        <v>39505</v>
      </c>
      <c r="D105" s="343">
        <v>6650</v>
      </c>
      <c r="E105" s="343">
        <f>D105*$R$21*$E$6/1000</f>
        <v>279.3</v>
      </c>
      <c r="F105" s="343">
        <f>D105*(($S$21*$E$6+($T$21+$Y$21)*$F$6))/1000</f>
        <v>1138.1790208909106</v>
      </c>
      <c r="G105" s="721">
        <f t="shared" si="34"/>
        <v>1417.4790208909105</v>
      </c>
      <c r="H105" s="382">
        <f>G105+G101+G103</f>
        <v>1465.6624738065125</v>
      </c>
      <c r="I105" s="382"/>
      <c r="J105" s="1176"/>
      <c r="K105" s="391">
        <f>(D105-D88)/D88</f>
        <v>0</v>
      </c>
      <c r="L105" s="361">
        <f t="shared" si="30"/>
        <v>0</v>
      </c>
    </row>
    <row r="106" spans="1:25" ht="14.25" x14ac:dyDescent="0.65">
      <c r="A106" s="1161"/>
      <c r="B106" t="s">
        <v>697</v>
      </c>
      <c r="C106" s="342">
        <f>SUM(C103:C105)</f>
        <v>42568</v>
      </c>
      <c r="D106" s="343">
        <f>SUM(D103:D105)</f>
        <v>7462</v>
      </c>
      <c r="E106" s="343">
        <f>SUM(E103:E105)</f>
        <v>313.404</v>
      </c>
      <c r="F106" s="343">
        <f>SUM(F103:F105)</f>
        <v>1282.3705501909105</v>
      </c>
      <c r="G106" s="721">
        <f t="shared" si="34"/>
        <v>1595.7745501909105</v>
      </c>
      <c r="H106" s="382">
        <f>G106</f>
        <v>1595.7745501909105</v>
      </c>
      <c r="I106" s="382">
        <f>D106+I102</f>
        <v>7981</v>
      </c>
      <c r="J106" s="1176"/>
      <c r="K106" s="391">
        <f>(D106-D89)/D89</f>
        <v>0</v>
      </c>
      <c r="L106" s="361">
        <f t="shared" si="30"/>
        <v>0</v>
      </c>
    </row>
    <row r="107" spans="1:25" ht="14.25" x14ac:dyDescent="0.65">
      <c r="A107" s="1161"/>
      <c r="B107" t="s">
        <v>698</v>
      </c>
      <c r="C107" s="342">
        <v>58456</v>
      </c>
      <c r="D107" s="343">
        <v>464</v>
      </c>
      <c r="E107" s="343">
        <f>D107*$R$23*$E$6/1000</f>
        <v>233.85601863935037</v>
      </c>
      <c r="F107" s="343">
        <f>D107*(($S$23*$E$6+($T$23+$Y$23)*$F$6))/1000</f>
        <v>24.89257865281342</v>
      </c>
      <c r="G107" s="721">
        <f t="shared" si="34"/>
        <v>258.74859729216377</v>
      </c>
      <c r="H107" s="382">
        <f>G106+G107</f>
        <v>1854.5231474830744</v>
      </c>
      <c r="I107" s="382">
        <f>I106+D107</f>
        <v>8445</v>
      </c>
      <c r="J107" s="1176"/>
      <c r="K107" s="391">
        <f>(D107-D90)/D90</f>
        <v>0</v>
      </c>
      <c r="L107" s="361">
        <f t="shared" si="30"/>
        <v>0</v>
      </c>
    </row>
    <row r="108" spans="1:25" ht="14.25" x14ac:dyDescent="0.65">
      <c r="A108" s="1161"/>
      <c r="B108" t="s">
        <v>699</v>
      </c>
      <c r="C108" s="342">
        <f>577+343+341+181+162+68</f>
        <v>1672</v>
      </c>
      <c r="D108" s="343">
        <v>45</v>
      </c>
      <c r="E108" s="343">
        <f>D108*$R$24*$E$6/1000</f>
        <v>6.3</v>
      </c>
      <c r="F108" s="343">
        <f>D108*(($S$24*$E$6+($T$24+$Y$24)*$F$6))/1000</f>
        <v>1.9288929388230001</v>
      </c>
      <c r="G108" s="721">
        <f t="shared" si="34"/>
        <v>8.2288929388229999</v>
      </c>
      <c r="H108" s="382">
        <f>SUM(G106:G108)</f>
        <v>1862.7520404218974</v>
      </c>
      <c r="I108" s="382">
        <f>D108+I107</f>
        <v>8490</v>
      </c>
      <c r="J108" s="1176"/>
      <c r="K108" s="391">
        <f>(D108-D91)/D91</f>
        <v>0.25</v>
      </c>
      <c r="L108" s="361">
        <f t="shared" si="30"/>
        <v>0.24999999999999994</v>
      </c>
    </row>
    <row r="109" spans="1:25" ht="15" thickBot="1" x14ac:dyDescent="0.8">
      <c r="A109" s="1175"/>
      <c r="B109" t="s">
        <v>701</v>
      </c>
      <c r="C109" s="350">
        <v>774200</v>
      </c>
      <c r="D109" s="351">
        <v>66089</v>
      </c>
      <c r="E109" s="343">
        <f>D109*$R$25*$E$6/1000</f>
        <v>37.009817794096001</v>
      </c>
      <c r="F109" s="343">
        <f>D109*(($S$25*$E$6+($T$25+$Y$25)*$F$6))/1000</f>
        <v>367.55273880762314</v>
      </c>
      <c r="G109" s="723">
        <f t="shared" si="34"/>
        <v>404.56255660171917</v>
      </c>
      <c r="H109" s="382">
        <f>SUM(G106:G109)+G102+G98</f>
        <v>2654.0703045108339</v>
      </c>
      <c r="I109" s="382">
        <f>I108+D109</f>
        <v>74579</v>
      </c>
      <c r="J109" s="1176"/>
      <c r="K109" s="391">
        <f>(D109-D92)/D92</f>
        <v>0</v>
      </c>
      <c r="L109" s="361">
        <f t="shared" si="30"/>
        <v>0</v>
      </c>
    </row>
    <row r="110" spans="1:25" ht="15" thickBot="1" x14ac:dyDescent="0.75">
      <c r="A110" s="354" t="s">
        <v>3</v>
      </c>
      <c r="B110" s="355">
        <f>A94</f>
        <v>2021</v>
      </c>
      <c r="C110" s="356">
        <f>SUM(C106:C109)</f>
        <v>876896</v>
      </c>
      <c r="D110" s="356"/>
      <c r="E110" s="387">
        <f>SUM(E106:E109)+E102+E98</f>
        <v>906.74450009430177</v>
      </c>
      <c r="F110" s="387">
        <f>SUM(F106:F109)+F102+F98</f>
        <v>1747.3258044165323</v>
      </c>
      <c r="G110" s="724">
        <f>E110+F110</f>
        <v>2654.0703045108339</v>
      </c>
      <c r="H110" s="357">
        <f>H109</f>
        <v>2654.0703045108339</v>
      </c>
      <c r="I110" s="357">
        <f>SUM(I106:I109)</f>
        <v>99495</v>
      </c>
      <c r="J110" s="1177"/>
      <c r="K110" s="372">
        <f>(I110-I93)/I93</f>
        <v>1.8094634940740072E-4</v>
      </c>
      <c r="L110" s="373">
        <f>(G110-G93)/G93</f>
        <v>6.2048083618586889E-4</v>
      </c>
      <c r="N110">
        <f>81576+57461+51339+48842+36806+23031+1741+277</f>
        <v>301073</v>
      </c>
    </row>
    <row r="111" spans="1:25" ht="14.25" x14ac:dyDescent="0.65">
      <c r="A111" s="1161">
        <v>2022</v>
      </c>
      <c r="B111" t="s">
        <v>674</v>
      </c>
      <c r="C111" s="334">
        <v>289128</v>
      </c>
      <c r="D111" s="335">
        <v>154</v>
      </c>
      <c r="E111" s="335">
        <f>D111*$R$10*$E$6/1000</f>
        <v>48.068529462434213</v>
      </c>
      <c r="F111" s="335">
        <f>D111*(($S$10*$E$6+($T$10+$Y$10)*$F$6))/1000</f>
        <v>9.2067231820183544</v>
      </c>
      <c r="G111" s="720">
        <f>E111+F111</f>
        <v>57.275252644452564</v>
      </c>
      <c r="H111" s="381">
        <f>G111</f>
        <v>57.275252644452564</v>
      </c>
      <c r="I111" s="381"/>
      <c r="J111" s="1176" t="str">
        <f>"Milli áranna "&amp; $A94 &amp;" og "&amp; $A111</f>
        <v>Milli áranna 2021 og 2022</v>
      </c>
      <c r="K111" s="390"/>
      <c r="L111" s="361">
        <f>(G111-G94)/G94</f>
        <v>0.10791366906474824</v>
      </c>
    </row>
    <row r="112" spans="1:25" ht="14.25" x14ac:dyDescent="0.65">
      <c r="A112" s="1161"/>
      <c r="B112" t="s">
        <v>682</v>
      </c>
      <c r="C112" s="342">
        <v>10789</v>
      </c>
      <c r="D112" s="343">
        <v>14</v>
      </c>
      <c r="E112" s="343">
        <f>D112*$R$11*$E$6/1000</f>
        <v>4.682443887882707</v>
      </c>
      <c r="F112" s="343">
        <f>D112*(($S$11*$E$6+($T$11+$Y$11)*$F$6))/1000</f>
        <v>1.0898504262311008</v>
      </c>
      <c r="G112" s="721">
        <f>E112+F112</f>
        <v>5.7722943141138074</v>
      </c>
      <c r="H112" s="382">
        <f>G112+G111</f>
        <v>63.047546958566372</v>
      </c>
      <c r="I112" s="382"/>
      <c r="J112" s="1176"/>
      <c r="K112" s="391"/>
      <c r="L112" s="361">
        <f t="shared" ref="L112:L126" si="35">(G112-G95)/G95</f>
        <v>-0.12499999999999997</v>
      </c>
    </row>
    <row r="113" spans="1:12" ht="14.25" x14ac:dyDescent="0.65">
      <c r="A113" s="1161"/>
      <c r="B113" t="s">
        <v>684</v>
      </c>
      <c r="C113" s="342">
        <v>60549</v>
      </c>
      <c r="D113" s="343">
        <v>54</v>
      </c>
      <c r="E113" s="343">
        <f>D113*$R$12*$E$6/1000</f>
        <v>14.287203670080913</v>
      </c>
      <c r="F113" s="343">
        <f>D113*(($S$12*$E$6+($T$12+$Y$12)*$F$6))/1000</f>
        <v>2.1462019560776535</v>
      </c>
      <c r="G113" s="721">
        <f>E113+F113</f>
        <v>16.433405626158567</v>
      </c>
      <c r="H113" s="382">
        <f>G113+G112+G111</f>
        <v>79.480952584724946</v>
      </c>
      <c r="I113" s="382"/>
      <c r="J113" s="1176"/>
      <c r="K113" s="391"/>
      <c r="L113" s="361">
        <f t="shared" si="35"/>
        <v>-0.16923076923076921</v>
      </c>
    </row>
    <row r="114" spans="1:12" ht="14.25" x14ac:dyDescent="0.65">
      <c r="A114" s="1161"/>
      <c r="B114" t="s">
        <v>686</v>
      </c>
      <c r="C114" s="342">
        <v>7386</v>
      </c>
      <c r="D114" s="343">
        <f>65*3</f>
        <v>195</v>
      </c>
      <c r="E114" s="343">
        <f>D114*$R$13*$E$6/1000</f>
        <v>25.51878350046551</v>
      </c>
      <c r="F114" s="343">
        <f>D114*(($S$13*$E$6+($T$13+$Y$13)*$F$6))/1000</f>
        <v>1.2691233926546759</v>
      </c>
      <c r="G114" s="721">
        <f t="shared" ref="G114" si="36">E114+F114</f>
        <v>26.787906893120187</v>
      </c>
      <c r="H114" s="382">
        <f>SUM(G111:G114)</f>
        <v>106.26885947784513</v>
      </c>
      <c r="I114" s="382"/>
      <c r="J114" s="1176"/>
      <c r="K114" s="391"/>
      <c r="L114" s="361">
        <f t="shared" si="35"/>
        <v>0</v>
      </c>
    </row>
    <row r="115" spans="1:12" ht="14.25" x14ac:dyDescent="0.65">
      <c r="A115" s="1161"/>
      <c r="B115" t="s">
        <v>687</v>
      </c>
      <c r="C115" s="342">
        <f>SUM(C111:C114)</f>
        <v>367852</v>
      </c>
      <c r="D115" s="343">
        <f>SUM(D111:D114)</f>
        <v>417</v>
      </c>
      <c r="E115" s="343">
        <f t="shared" ref="E115:F115" si="37">SUM(E111:E114)</f>
        <v>92.556960520863328</v>
      </c>
      <c r="F115" s="343">
        <f t="shared" si="37"/>
        <v>13.711898956981784</v>
      </c>
      <c r="G115" s="721">
        <f>E115+F115</f>
        <v>106.26885947784511</v>
      </c>
      <c r="H115" s="382">
        <f>G115</f>
        <v>106.26885947784511</v>
      </c>
      <c r="I115" s="382">
        <f>D115</f>
        <v>417</v>
      </c>
      <c r="J115" s="1176"/>
      <c r="K115" s="391">
        <f>(D115-D98)/D98</f>
        <v>4.8192771084337354E-3</v>
      </c>
      <c r="L115" s="361">
        <f t="shared" si="35"/>
        <v>1.3413780212788988E-2</v>
      </c>
    </row>
    <row r="116" spans="1:12" ht="14.25" x14ac:dyDescent="0.65">
      <c r="A116" s="1161"/>
      <c r="B116" t="s">
        <v>688</v>
      </c>
      <c r="C116" s="342">
        <v>25842</v>
      </c>
      <c r="D116" s="343">
        <v>51</v>
      </c>
      <c r="E116" s="343">
        <f>D116*$R$15*$E$6/1000</f>
        <v>155.88832686000003</v>
      </c>
      <c r="F116" s="343">
        <f>D116*(($S$15*$E$6+($T$15+$Y$15)*$F$6))/1000</f>
        <v>46.839494429444116</v>
      </c>
      <c r="G116" s="721">
        <f t="shared" ref="G116:G118" si="38">E116+F116</f>
        <v>202.72782128944414</v>
      </c>
      <c r="H116" s="382">
        <f>G116+G115</f>
        <v>308.99668076728926</v>
      </c>
      <c r="I116" s="382"/>
      <c r="J116" s="1176"/>
      <c r="K116" s="391"/>
      <c r="L116" s="361">
        <f t="shared" si="35"/>
        <v>4.0816326530612401E-2</v>
      </c>
    </row>
    <row r="117" spans="1:12" ht="14.25" x14ac:dyDescent="0.65">
      <c r="A117" s="1161"/>
      <c r="B117" t="s">
        <v>689</v>
      </c>
      <c r="C117" s="342">
        <v>22567</v>
      </c>
      <c r="D117" s="343">
        <v>22</v>
      </c>
      <c r="E117" s="343">
        <f>D117*$R$16*$E$6/1000</f>
        <v>45.433173333239999</v>
      </c>
      <c r="F117" s="343">
        <f>D117*(($S$16*$E$6+($T$16+$Y$16)*$F$6))/1000</f>
        <v>2.4430150946463676</v>
      </c>
      <c r="G117" s="721">
        <f t="shared" si="38"/>
        <v>47.876188427886369</v>
      </c>
      <c r="H117" s="382">
        <f>G117+G116+G115</f>
        <v>356.87286919517561</v>
      </c>
      <c r="I117" s="382"/>
      <c r="J117" s="1176"/>
      <c r="K117" s="391"/>
      <c r="L117" s="361">
        <f t="shared" si="35"/>
        <v>0.15789473684210525</v>
      </c>
    </row>
    <row r="118" spans="1:12" ht="14.25" x14ac:dyDescent="0.65">
      <c r="A118" s="1161"/>
      <c r="B118" t="s">
        <v>691</v>
      </c>
      <c r="C118" s="342">
        <v>31582</v>
      </c>
      <c r="D118" s="343">
        <v>28</v>
      </c>
      <c r="E118" s="343">
        <f>D118*$R$17*$E$6/1000</f>
        <v>27.772598123200002</v>
      </c>
      <c r="F118" s="343">
        <f>D118*(($S$17*$E$6+($T$17+$Y$17)*$F$6))/1000</f>
        <v>7.8248280694902927</v>
      </c>
      <c r="G118" s="722">
        <f t="shared" si="38"/>
        <v>35.597426192690293</v>
      </c>
      <c r="H118" s="382">
        <f>G118+G117+G116+G115</f>
        <v>392.47029538786592</v>
      </c>
      <c r="I118" s="382"/>
      <c r="J118" s="1176"/>
      <c r="K118" s="391"/>
      <c r="L118" s="361">
        <f t="shared" si="35"/>
        <v>-0.22222222222222221</v>
      </c>
    </row>
    <row r="119" spans="1:12" ht="14.25" x14ac:dyDescent="0.65">
      <c r="A119" s="1161"/>
      <c r="B119" t="s">
        <v>693</v>
      </c>
      <c r="C119" s="342">
        <f>SUM(C116:C118)</f>
        <v>79991</v>
      </c>
      <c r="D119" s="342">
        <f>SUM(D116:D118)</f>
        <v>101</v>
      </c>
      <c r="E119" s="343">
        <f>SUM(E116:E118)</f>
        <v>229.09409831644004</v>
      </c>
      <c r="F119" s="343">
        <f>SUM(F116:F118)</f>
        <v>57.10733759358078</v>
      </c>
      <c r="G119" s="722">
        <f>E119+F119</f>
        <v>286.20143591002079</v>
      </c>
      <c r="H119" s="382">
        <f>G119+G115</f>
        <v>392.47029538786592</v>
      </c>
      <c r="I119" s="382">
        <f>D119+I115</f>
        <v>518</v>
      </c>
      <c r="J119" s="1176"/>
      <c r="K119" s="391">
        <f>(D119-D102)/D102</f>
        <v>-2.8846153846153848E-2</v>
      </c>
      <c r="L119" s="361">
        <f t="shared" si="35"/>
        <v>1.5282329657202279E-2</v>
      </c>
    </row>
    <row r="120" spans="1:12" ht="14.25" x14ac:dyDescent="0.65">
      <c r="A120" s="1161"/>
      <c r="B120" t="s">
        <v>694</v>
      </c>
      <c r="C120" s="342">
        <v>42</v>
      </c>
      <c r="D120" s="343">
        <v>10</v>
      </c>
      <c r="E120" s="343">
        <f>D120*$R$20*$E$6/1000</f>
        <v>0.42</v>
      </c>
      <c r="F120" s="343">
        <f>D120*(($S$20*$E$6+($T$20+$Y$19)*$F$6))/1000</f>
        <v>1.7757577499999999</v>
      </c>
      <c r="G120" s="722">
        <f>E120+F120</f>
        <v>2.1957577499999998</v>
      </c>
      <c r="H120" s="382">
        <f>H119+G120</f>
        <v>394.6660531378659</v>
      </c>
      <c r="I120" s="382"/>
      <c r="J120" s="1176"/>
      <c r="K120" s="391"/>
      <c r="L120" s="361">
        <f t="shared" si="35"/>
        <v>-9.0909090909090925E-2</v>
      </c>
    </row>
    <row r="121" spans="1:12" ht="14.25" x14ac:dyDescent="0.65">
      <c r="A121" s="1161"/>
      <c r="B121" t="s">
        <v>695</v>
      </c>
      <c r="C121" s="835">
        <v>2958</v>
      </c>
      <c r="D121" s="343">
        <v>760</v>
      </c>
      <c r="E121" s="343">
        <f>D121*$R$20*$E$6/1000</f>
        <v>31.92</v>
      </c>
      <c r="F121" s="343">
        <f>D121*(($S$20*$E$6+($T$20+$Y$20)*$F$6))/1000</f>
        <v>134.95758900000001</v>
      </c>
      <c r="G121" s="721">
        <f t="shared" ref="G121:G126" si="39">E121+F121</f>
        <v>166.877589</v>
      </c>
      <c r="H121" s="382">
        <f>G121+G119+G118+G120</f>
        <v>490.87220885271108</v>
      </c>
      <c r="I121" s="382"/>
      <c r="J121" s="1176"/>
      <c r="K121" s="391"/>
      <c r="L121" s="361">
        <f t="shared" si="35"/>
        <v>-5.1186017478152331E-2</v>
      </c>
    </row>
    <row r="122" spans="1:12" ht="14.25" x14ac:dyDescent="0.65">
      <c r="A122" s="1161"/>
      <c r="B122" t="s">
        <v>696</v>
      </c>
      <c r="C122" s="835">
        <f>19333+9867+7682</f>
        <v>36882</v>
      </c>
      <c r="D122" s="343">
        <v>6730</v>
      </c>
      <c r="E122" s="343">
        <f>D122*$R$21*$E$6/1000</f>
        <v>282.66000000000003</v>
      </c>
      <c r="F122" s="343">
        <f>D122*(($S$21*$E$6+($T$21+$Y$21)*$F$6))/1000</f>
        <v>1151.8714000895982</v>
      </c>
      <c r="G122" s="721">
        <f t="shared" si="39"/>
        <v>1434.5314000895983</v>
      </c>
      <c r="H122" s="382">
        <f>G122+G118+G120</f>
        <v>1472.3245840322886</v>
      </c>
      <c r="I122" s="382"/>
      <c r="J122" s="1176"/>
      <c r="K122" s="391">
        <f>(D122-D105)/D105</f>
        <v>1.2030075187969926E-2</v>
      </c>
      <c r="L122" s="361">
        <f t="shared" si="35"/>
        <v>1.2030075187969985E-2</v>
      </c>
    </row>
    <row r="123" spans="1:12" ht="14.25" x14ac:dyDescent="0.65">
      <c r="A123" s="1161"/>
      <c r="B123" t="s">
        <v>697</v>
      </c>
      <c r="C123" s="835">
        <f>SUM(C120:C122)</f>
        <v>39882</v>
      </c>
      <c r="D123" s="343">
        <f>SUM(D120:D122)</f>
        <v>7500</v>
      </c>
      <c r="E123" s="343">
        <f>SUM(E120:E122)</f>
        <v>315</v>
      </c>
      <c r="F123" s="343">
        <f>SUM(F120:F122)</f>
        <v>1288.6047468395982</v>
      </c>
      <c r="G123" s="721">
        <f t="shared" si="39"/>
        <v>1603.6047468395982</v>
      </c>
      <c r="H123" s="382">
        <f>G123</f>
        <v>1603.6047468395982</v>
      </c>
      <c r="I123" s="382">
        <f>D123+I119</f>
        <v>8018</v>
      </c>
      <c r="J123" s="1176"/>
      <c r="K123" s="391">
        <f>(D123-D106)/D106</f>
        <v>5.0924685071026534E-3</v>
      </c>
      <c r="L123" s="361">
        <f t="shared" si="35"/>
        <v>4.9068313865206683E-3</v>
      </c>
    </row>
    <row r="124" spans="1:12" ht="14.25" x14ac:dyDescent="0.65">
      <c r="A124" s="1161"/>
      <c r="B124" t="s">
        <v>698</v>
      </c>
      <c r="C124" s="835">
        <v>53046</v>
      </c>
      <c r="D124" s="343">
        <v>313</v>
      </c>
      <c r="E124" s="343">
        <f>D124*$R$23*$E$6/1000</f>
        <v>157.75201257352728</v>
      </c>
      <c r="F124" s="343">
        <f>D124*(($S$23*$E$6+($T$23+$Y$23)*$F$6))/1000</f>
        <v>16.791761030884913</v>
      </c>
      <c r="G124" s="721">
        <f t="shared" si="39"/>
        <v>174.54377360441219</v>
      </c>
      <c r="H124" s="382">
        <f>G123+G124</f>
        <v>1778.1485204440105</v>
      </c>
      <c r="I124" s="382">
        <f>I123+D124</f>
        <v>8331</v>
      </c>
      <c r="J124" s="1176"/>
      <c r="K124" s="391">
        <f>(D124-D107)/D107</f>
        <v>-0.32543103448275862</v>
      </c>
      <c r="L124" s="361">
        <f t="shared" si="35"/>
        <v>-0.32543103448275862</v>
      </c>
    </row>
    <row r="125" spans="1:12" ht="14.25" x14ac:dyDescent="0.65">
      <c r="A125" s="1161"/>
      <c r="B125" t="s">
        <v>699</v>
      </c>
      <c r="C125" s="835">
        <v>1883</v>
      </c>
      <c r="D125" s="343">
        <v>49</v>
      </c>
      <c r="E125" s="343">
        <f>D125*$R$24*$E$6/1000</f>
        <v>6.86</v>
      </c>
      <c r="F125" s="343">
        <f>D125*(($S$24*$E$6+($T$24+$Y$24)*$F$6))/1000</f>
        <v>2.1003500889405999</v>
      </c>
      <c r="G125" s="721">
        <f t="shared" si="39"/>
        <v>8.9603500889406007</v>
      </c>
      <c r="H125" s="382">
        <f>SUM(G123:G125)</f>
        <v>1787.1088705329512</v>
      </c>
      <c r="I125" s="382">
        <f>D125+I124</f>
        <v>8380</v>
      </c>
      <c r="J125" s="1176"/>
      <c r="K125" s="391">
        <f>(D125-D108)/D108</f>
        <v>8.8888888888888892E-2</v>
      </c>
      <c r="L125" s="361">
        <f t="shared" si="35"/>
        <v>8.8888888888888989E-2</v>
      </c>
    </row>
    <row r="126" spans="1:12" ht="15" thickBot="1" x14ac:dyDescent="0.8">
      <c r="A126" s="1175"/>
      <c r="B126" t="s">
        <v>701</v>
      </c>
      <c r="C126" s="836">
        <v>719612</v>
      </c>
      <c r="D126" s="351">
        <v>63013</v>
      </c>
      <c r="E126" s="343">
        <f>D126*$R$25*$E$6/1000</f>
        <v>35.287258827631995</v>
      </c>
      <c r="F126" s="343">
        <f>D126*(($S$25*$E$6+($T$25+$Y$25)*$F$6))/1000</f>
        <v>350.44562227427798</v>
      </c>
      <c r="G126" s="723">
        <f t="shared" si="39"/>
        <v>385.73288110190998</v>
      </c>
      <c r="H126" s="382">
        <f>SUM(G123:G126)+G119+G115</f>
        <v>2565.3120470227273</v>
      </c>
      <c r="I126" s="382">
        <f>I125+D126</f>
        <v>71393</v>
      </c>
      <c r="J126" s="1176"/>
      <c r="K126" s="391">
        <f>(D126-D109)/D109</f>
        <v>-4.6543297674348227E-2</v>
      </c>
      <c r="L126" s="361">
        <f t="shared" si="35"/>
        <v>-4.6543297674348262E-2</v>
      </c>
    </row>
    <row r="127" spans="1:12" ht="15" thickBot="1" x14ac:dyDescent="0.75">
      <c r="A127" s="354" t="s">
        <v>3</v>
      </c>
      <c r="B127" s="355">
        <f>A111</f>
        <v>2022</v>
      </c>
      <c r="C127" s="356">
        <f>SUM(C123:C126)</f>
        <v>814423</v>
      </c>
      <c r="D127" s="356"/>
      <c r="E127" s="387">
        <f>SUM(E123:E126)+E119+E115</f>
        <v>836.55033023846261</v>
      </c>
      <c r="F127" s="387">
        <f>SUM(F123:F126)+F119+F115</f>
        <v>1728.7617167842641</v>
      </c>
      <c r="G127" s="724">
        <f>E127+F127</f>
        <v>2565.3120470227268</v>
      </c>
      <c r="H127" s="357">
        <f>H126</f>
        <v>2565.3120470227273</v>
      </c>
      <c r="I127" s="357">
        <f>SUM(I123:I126)</f>
        <v>96122</v>
      </c>
      <c r="J127" s="1177"/>
      <c r="K127" s="372">
        <f>(I127-I110)/I110</f>
        <v>-3.3901201065380172E-2</v>
      </c>
      <c r="L127" s="373">
        <f>(G127-G110)/G110</f>
        <v>-3.3442315878842541E-2</v>
      </c>
    </row>
    <row r="128" spans="1:12" ht="14.25" x14ac:dyDescent="0.65">
      <c r="A128" s="1161">
        <v>2023</v>
      </c>
      <c r="B128" t="s">
        <v>674</v>
      </c>
      <c r="C128" s="334">
        <v>272889</v>
      </c>
      <c r="D128" s="335">
        <v>90</v>
      </c>
      <c r="E128" s="335">
        <f>D128*$R$10*$E$6/1000</f>
        <v>28.091997737786226</v>
      </c>
      <c r="F128" s="335">
        <f>D128*(($S$10*$E$6+($T$10+$Y$10)*$F$6))/1000</f>
        <v>5.3805525089717667</v>
      </c>
      <c r="G128" s="720">
        <f>E128+F128</f>
        <v>33.47255024675799</v>
      </c>
      <c r="H128" s="381">
        <f>G128</f>
        <v>33.47255024675799</v>
      </c>
      <c r="I128" s="381"/>
      <c r="J128" s="1176" t="str">
        <f>"Milli áranna "&amp; $A111 &amp;" og "&amp; $A128</f>
        <v>Milli áranna 2022 og 2023</v>
      </c>
      <c r="K128" s="390"/>
      <c r="L128" s="361">
        <f>(G128-G111)/G111</f>
        <v>-0.41558441558441561</v>
      </c>
    </row>
    <row r="129" spans="1:12" ht="14.25" x14ac:dyDescent="0.65">
      <c r="A129" s="1161"/>
      <c r="B129" t="s">
        <v>682</v>
      </c>
      <c r="C129" s="342">
        <v>9936</v>
      </c>
      <c r="D129" s="343">
        <v>5</v>
      </c>
      <c r="E129" s="343">
        <f>D129*$R$11*$E$6/1000</f>
        <v>1.6723013885295384</v>
      </c>
      <c r="F129" s="343">
        <f>D129*(($S$11*$E$6+($T$11+$Y$11)*$F$6))/1000</f>
        <v>0.38923229508253598</v>
      </c>
      <c r="G129" s="721">
        <f>E129+F129</f>
        <v>2.0615336836120743</v>
      </c>
      <c r="H129" s="382">
        <f>G129+G128</f>
        <v>35.534083930370066</v>
      </c>
      <c r="I129" s="382"/>
      <c r="J129" s="1176"/>
      <c r="K129" s="391"/>
      <c r="L129" s="361">
        <f t="shared" ref="L129:L143" si="40">(G129-G112)/G112</f>
        <v>-0.64285714285714279</v>
      </c>
    </row>
    <row r="130" spans="1:12" ht="14.25" x14ac:dyDescent="0.65">
      <c r="A130" s="1161"/>
      <c r="B130" t="s">
        <v>684</v>
      </c>
      <c r="C130" s="342">
        <v>60399</v>
      </c>
      <c r="D130" s="343">
        <v>31</v>
      </c>
      <c r="E130" s="343">
        <f>D130*$R$12*$E$6/1000</f>
        <v>8.2019132180094125</v>
      </c>
      <c r="F130" s="343">
        <f>D130*(($S$12*$E$6+($T$12+$Y$12)*$F$6))/1000</f>
        <v>1.2320789007112456</v>
      </c>
      <c r="G130" s="721">
        <f>E130+F130</f>
        <v>9.4339921187206581</v>
      </c>
      <c r="H130" s="382">
        <f>G130+G129+G128</f>
        <v>44.968076049090726</v>
      </c>
      <c r="I130" s="382"/>
      <c r="J130" s="1176"/>
      <c r="K130" s="391"/>
      <c r="L130" s="361">
        <f t="shared" si="40"/>
        <v>-0.42592592592592599</v>
      </c>
    </row>
    <row r="131" spans="1:12" ht="14.25" x14ac:dyDescent="0.65">
      <c r="A131" s="1161"/>
      <c r="B131" t="s">
        <v>686</v>
      </c>
      <c r="C131" s="342">
        <v>7547</v>
      </c>
      <c r="D131" s="343">
        <v>7</v>
      </c>
      <c r="E131" s="343">
        <f>D131*$R$13*$E$6/1000</f>
        <v>0.91605889488850534</v>
      </c>
      <c r="F131" s="343">
        <f>D131*(($S$13*$E$6+($T$13+$Y$13)*$F$6))/1000</f>
        <v>4.5558275633757597E-2</v>
      </c>
      <c r="G131" s="721">
        <f t="shared" ref="G131" si="41">E131+F131</f>
        <v>0.96161717052226292</v>
      </c>
      <c r="H131" s="382">
        <f>SUM(G128:G131)</f>
        <v>45.929693219612986</v>
      </c>
      <c r="I131" s="382"/>
      <c r="J131" s="1176"/>
      <c r="K131" s="391"/>
      <c r="L131" s="361">
        <f t="shared" si="40"/>
        <v>-0.96410256410256412</v>
      </c>
    </row>
    <row r="132" spans="1:12" ht="14.25" x14ac:dyDescent="0.65">
      <c r="A132" s="1161"/>
      <c r="B132" t="s">
        <v>687</v>
      </c>
      <c r="C132" s="342">
        <f>SUM(C128:C131)</f>
        <v>350771</v>
      </c>
      <c r="D132" s="343">
        <f>SUM(D128:D131)</f>
        <v>133</v>
      </c>
      <c r="E132" s="343">
        <f t="shared" ref="E132:F132" si="42">SUM(E128:E131)</f>
        <v>38.882271239213679</v>
      </c>
      <c r="F132" s="343">
        <f t="shared" si="42"/>
        <v>7.0474219803993057</v>
      </c>
      <c r="G132" s="721">
        <f>E132+F132</f>
        <v>45.929693219612986</v>
      </c>
      <c r="H132" s="382">
        <f>G132</f>
        <v>45.929693219612986</v>
      </c>
      <c r="I132" s="382">
        <f>D132</f>
        <v>133</v>
      </c>
      <c r="J132" s="1176"/>
      <c r="K132" s="391">
        <f>(D132-D115)/D115</f>
        <v>-0.68105515587529974</v>
      </c>
      <c r="L132" s="361">
        <f t="shared" si="40"/>
        <v>-0.56779725080997612</v>
      </c>
    </row>
    <row r="133" spans="1:12" ht="14.25" x14ac:dyDescent="0.65">
      <c r="A133" s="1161"/>
      <c r="B133" t="s">
        <v>688</v>
      </c>
      <c r="C133" s="342">
        <v>24627</v>
      </c>
      <c r="D133" s="343">
        <v>32</v>
      </c>
      <c r="E133" s="343">
        <f>D133*$R$15*$E$6/1000</f>
        <v>97.812283520000008</v>
      </c>
      <c r="F133" s="343">
        <f>D133*(($S$15*$E$6+($T$15+$Y$15)*$F$6))/1000</f>
        <v>29.389486700827682</v>
      </c>
      <c r="G133" s="721">
        <f t="shared" ref="G133:G135" si="43">E133+F133</f>
        <v>127.20177022082768</v>
      </c>
      <c r="H133" s="382">
        <f>G133+G132</f>
        <v>173.13146344044065</v>
      </c>
      <c r="I133" s="382"/>
      <c r="J133" s="1176"/>
      <c r="K133" s="391"/>
      <c r="L133" s="361">
        <f t="shared" si="40"/>
        <v>-0.3725490196078432</v>
      </c>
    </row>
    <row r="134" spans="1:12" ht="14.25" x14ac:dyDescent="0.65">
      <c r="A134" s="1161"/>
      <c r="B134" t="s">
        <v>689</v>
      </c>
      <c r="C134" s="342">
        <v>20630</v>
      </c>
      <c r="D134" s="343">
        <v>15</v>
      </c>
      <c r="E134" s="343">
        <f>D134*$R$16*$E$6/1000</f>
        <v>30.977163636299995</v>
      </c>
      <c r="F134" s="343">
        <f>D134*(($S$16*$E$6+($T$16+$Y$16)*$F$6))/1000</f>
        <v>1.6656921099861599</v>
      </c>
      <c r="G134" s="721">
        <f t="shared" si="43"/>
        <v>32.642855746286152</v>
      </c>
      <c r="H134" s="382">
        <f>G134+G133+G132</f>
        <v>205.77431918672681</v>
      </c>
      <c r="I134" s="382"/>
      <c r="J134" s="1176"/>
      <c r="K134" s="391"/>
      <c r="L134" s="361">
        <f t="shared" si="40"/>
        <v>-0.31818181818181834</v>
      </c>
    </row>
    <row r="135" spans="1:12" ht="14.25" x14ac:dyDescent="0.65">
      <c r="A135" s="1161"/>
      <c r="B135" t="s">
        <v>691</v>
      </c>
      <c r="C135" s="342">
        <v>29954</v>
      </c>
      <c r="D135" s="343">
        <v>27</v>
      </c>
      <c r="E135" s="343">
        <f>D135*$R$17*$E$6/1000</f>
        <v>26.780719618800003</v>
      </c>
      <c r="F135" s="343">
        <f>D135*(($S$17*$E$6+($T$17+$Y$17)*$F$6))/1000</f>
        <v>7.5453699241513528</v>
      </c>
      <c r="G135" s="722">
        <f t="shared" si="43"/>
        <v>34.326089542951358</v>
      </c>
      <c r="H135" s="382">
        <f>G135+G134+G133+G132</f>
        <v>240.10040872967818</v>
      </c>
      <c r="I135" s="382"/>
      <c r="J135" s="1176"/>
      <c r="K135" s="391"/>
      <c r="L135" s="361">
        <f t="shared" si="40"/>
        <v>-3.5714285714285587E-2</v>
      </c>
    </row>
    <row r="136" spans="1:12" ht="14.25" x14ac:dyDescent="0.65">
      <c r="A136" s="1161"/>
      <c r="B136" t="s">
        <v>693</v>
      </c>
      <c r="C136" s="342">
        <f>SUM(C133:C135)</f>
        <v>75211</v>
      </c>
      <c r="D136" s="342">
        <f>SUM(D133:D135)</f>
        <v>74</v>
      </c>
      <c r="E136" s="343">
        <f>SUM(E133:E135)</f>
        <v>155.57016677510001</v>
      </c>
      <c r="F136" s="343">
        <f>SUM(F133:F135)</f>
        <v>38.600548734965194</v>
      </c>
      <c r="G136" s="722">
        <f>E136+F136</f>
        <v>194.17071551006521</v>
      </c>
      <c r="H136" s="382">
        <f>G136+G132</f>
        <v>240.10040872967818</v>
      </c>
      <c r="I136" s="382">
        <f>D136+I132</f>
        <v>207</v>
      </c>
      <c r="J136" s="1176"/>
      <c r="K136" s="391">
        <f>(D136-D119)/D119</f>
        <v>-0.26732673267326734</v>
      </c>
      <c r="L136" s="361">
        <f t="shared" si="40"/>
        <v>-0.32155925461145918</v>
      </c>
    </row>
    <row r="137" spans="1:12" ht="14.25" x14ac:dyDescent="0.65">
      <c r="A137" s="1161"/>
      <c r="B137" t="s">
        <v>694</v>
      </c>
      <c r="C137" s="342">
        <v>28</v>
      </c>
      <c r="D137" s="343">
        <v>8</v>
      </c>
      <c r="E137" s="343">
        <f>D137*$R$20*$E$6/1000</f>
        <v>0.33600000000000002</v>
      </c>
      <c r="F137" s="343">
        <f>D137*(($S$20*$E$6+($T$20+$Y$19)*$F$6))/1000</f>
        <v>1.4206061999999999</v>
      </c>
      <c r="G137" s="722">
        <f>E137+F137</f>
        <v>1.7566062</v>
      </c>
      <c r="H137" s="382">
        <f>H136+G137</f>
        <v>241.85701492967817</v>
      </c>
      <c r="I137" s="382"/>
      <c r="J137" s="1176"/>
      <c r="K137" s="391"/>
      <c r="L137" s="361">
        <f t="shared" si="40"/>
        <v>-0.19999999999999993</v>
      </c>
    </row>
    <row r="138" spans="1:12" ht="14.25" x14ac:dyDescent="0.65">
      <c r="A138" s="1161"/>
      <c r="B138" t="s">
        <v>695</v>
      </c>
      <c r="C138" s="835">
        <v>2380</v>
      </c>
      <c r="D138" s="343">
        <v>720</v>
      </c>
      <c r="E138" s="343">
        <f>D138*$R$20*$E$6/1000</f>
        <v>30.24</v>
      </c>
      <c r="F138" s="343">
        <f>D138*(($S$20*$E$6+($T$20+$Y$20)*$F$6))/1000</f>
        <v>127.85455799999998</v>
      </c>
      <c r="G138" s="721">
        <f t="shared" ref="G138:G143" si="44">E138+F138</f>
        <v>158.09455799999998</v>
      </c>
      <c r="H138" s="382">
        <f>G138+G136+G135+G137</f>
        <v>388.34796925301657</v>
      </c>
      <c r="I138" s="382"/>
      <c r="J138" s="1176"/>
      <c r="K138" s="391"/>
      <c r="L138" s="361">
        <f t="shared" si="40"/>
        <v>-5.2631578947368557E-2</v>
      </c>
    </row>
    <row r="139" spans="1:12" ht="14.25" x14ac:dyDescent="0.65">
      <c r="A139" s="1161"/>
      <c r="B139" t="s">
        <v>696</v>
      </c>
      <c r="C139" s="835">
        <v>33236</v>
      </c>
      <c r="D139" s="343">
        <v>5770</v>
      </c>
      <c r="E139" s="343">
        <f>D139*$R$21*$E$6/1000</f>
        <v>242.34</v>
      </c>
      <c r="F139" s="343">
        <f>D139*(($S$21*$E$6+($T$21+$Y$21)*$F$6))/1000</f>
        <v>987.56284970534648</v>
      </c>
      <c r="G139" s="721">
        <f t="shared" si="44"/>
        <v>1229.9028497053464</v>
      </c>
      <c r="H139" s="382">
        <f>G139+G135+G137</f>
        <v>1265.9855454482979</v>
      </c>
      <c r="I139" s="382"/>
      <c r="J139" s="1176"/>
      <c r="K139" s="391">
        <f>(D139-D122)/D122</f>
        <v>-0.1426448736998514</v>
      </c>
      <c r="L139" s="361">
        <f t="shared" si="40"/>
        <v>-0.14264487369985149</v>
      </c>
    </row>
    <row r="140" spans="1:12" ht="14.25" x14ac:dyDescent="0.65">
      <c r="A140" s="1161"/>
      <c r="B140" t="s">
        <v>697</v>
      </c>
      <c r="C140" s="835">
        <f>SUM(C137:C139)</f>
        <v>35644</v>
      </c>
      <c r="D140" s="343">
        <f>SUM(D137:D139)</f>
        <v>6498</v>
      </c>
      <c r="E140" s="343">
        <f>SUM(E137:E139)</f>
        <v>272.916</v>
      </c>
      <c r="F140" s="343">
        <f>SUM(F137:F139)</f>
        <v>1116.8380139053465</v>
      </c>
      <c r="G140" s="721">
        <f t="shared" si="44"/>
        <v>1389.7540139053465</v>
      </c>
      <c r="H140" s="382">
        <f>G140</f>
        <v>1389.7540139053465</v>
      </c>
      <c r="I140" s="382">
        <f>D140+I136</f>
        <v>6705</v>
      </c>
      <c r="J140" s="1176"/>
      <c r="K140" s="391">
        <f>(D140-D123)/D123</f>
        <v>-0.1336</v>
      </c>
      <c r="L140" s="361">
        <f t="shared" si="40"/>
        <v>-0.13335626085898727</v>
      </c>
    </row>
    <row r="141" spans="1:12" ht="14.25" x14ac:dyDescent="0.65">
      <c r="A141" s="1161"/>
      <c r="B141" t="s">
        <v>698</v>
      </c>
      <c r="C141" s="835">
        <v>44446</v>
      </c>
      <c r="D141" s="343">
        <v>273</v>
      </c>
      <c r="E141" s="343">
        <f>D141*$R$23*$E$6/1000</f>
        <v>137.59201096668673</v>
      </c>
      <c r="F141" s="343">
        <f>D141*(($S$23*$E$6+($T$23+$Y$23)*$F$6))/1000</f>
        <v>14.645849078056171</v>
      </c>
      <c r="G141" s="721">
        <f t="shared" si="44"/>
        <v>152.23786004474289</v>
      </c>
      <c r="H141" s="382">
        <f>G140+G141</f>
        <v>1541.9918739500895</v>
      </c>
      <c r="I141" s="382">
        <f>I140+D141</f>
        <v>6978</v>
      </c>
      <c r="J141" s="1176"/>
      <c r="K141" s="391">
        <f>(D141-D124)/D124</f>
        <v>-0.12779552715654952</v>
      </c>
      <c r="L141" s="361">
        <f t="shared" si="40"/>
        <v>-0.12779552715654963</v>
      </c>
    </row>
    <row r="142" spans="1:12" ht="14.25" x14ac:dyDescent="0.65">
      <c r="A142" s="1161"/>
      <c r="B142" t="s">
        <v>699</v>
      </c>
      <c r="C142" s="835">
        <v>1759</v>
      </c>
      <c r="D142" s="343">
        <v>49</v>
      </c>
      <c r="E142" s="343">
        <f>D142*$R$24*$E$6/1000</f>
        <v>6.86</v>
      </c>
      <c r="F142" s="343">
        <f>D142*(($S$24*$E$6+($T$24+$Y$24)*$F$6))/1000</f>
        <v>2.1003500889405999</v>
      </c>
      <c r="G142" s="721">
        <f t="shared" si="44"/>
        <v>8.9603500889406007</v>
      </c>
      <c r="H142" s="382">
        <f>SUM(G140:G142)</f>
        <v>1550.9522240390302</v>
      </c>
      <c r="I142" s="382">
        <f>D142+I141</f>
        <v>7027</v>
      </c>
      <c r="J142" s="1176"/>
      <c r="K142" s="391">
        <f>(D142-D125)/D125</f>
        <v>0</v>
      </c>
      <c r="L142" s="361">
        <f t="shared" si="40"/>
        <v>0</v>
      </c>
    </row>
    <row r="143" spans="1:12" ht="15" thickBot="1" x14ac:dyDescent="0.8">
      <c r="A143" s="1175"/>
      <c r="B143" t="s">
        <v>701</v>
      </c>
      <c r="C143" s="836">
        <v>426380</v>
      </c>
      <c r="D143" s="351">
        <v>71010</v>
      </c>
      <c r="E143" s="343">
        <f>D143*$R$25*$E$6/1000</f>
        <v>39.76557614064</v>
      </c>
      <c r="F143" s="343">
        <f>D143*(($S$25*$E$6+($T$25+$Y$25)*$F$6))/1000</f>
        <v>394.9207883721848</v>
      </c>
      <c r="G143" s="723">
        <f t="shared" si="44"/>
        <v>434.68636451282481</v>
      </c>
      <c r="H143" s="382">
        <f>SUM(G140:G143)+G136+G132</f>
        <v>2225.7389972815331</v>
      </c>
      <c r="I143" s="382">
        <f>I142+D143</f>
        <v>78037</v>
      </c>
      <c r="J143" s="1176"/>
      <c r="K143" s="391">
        <f>(D143-D126)/D126</f>
        <v>0.1269103200926793</v>
      </c>
      <c r="L143" s="361">
        <f t="shared" si="40"/>
        <v>0.12691032009267936</v>
      </c>
    </row>
    <row r="144" spans="1:12" ht="15" thickBot="1" x14ac:dyDescent="0.75">
      <c r="A144" s="354" t="s">
        <v>3</v>
      </c>
      <c r="B144" s="355">
        <f>A128</f>
        <v>2023</v>
      </c>
      <c r="C144" s="356">
        <f>SUM(C140:C143)</f>
        <v>508229</v>
      </c>
      <c r="D144" s="356"/>
      <c r="E144" s="387">
        <f>SUM(E140:E143)+E136+E132</f>
        <v>651.58602512164043</v>
      </c>
      <c r="F144" s="387">
        <f>SUM(F140:F143)+F136+F132</f>
        <v>1574.1529721598929</v>
      </c>
      <c r="G144" s="724">
        <f>E144+F144</f>
        <v>2225.7389972815336</v>
      </c>
      <c r="H144" s="357">
        <f>H143</f>
        <v>2225.7389972815331</v>
      </c>
      <c r="I144" s="357">
        <f>SUM(I140:I143)</f>
        <v>98747</v>
      </c>
      <c r="J144" s="1177"/>
      <c r="K144" s="372">
        <f>(I144-I127)/I127</f>
        <v>2.7309044755623062E-2</v>
      </c>
      <c r="L144" s="373">
        <f>(G144-G127)/G127</f>
        <v>-0.13237105019457499</v>
      </c>
    </row>
  </sheetData>
  <mergeCells count="38">
    <mergeCell ref="A2:L2"/>
    <mergeCell ref="A3:B5"/>
    <mergeCell ref="C3:L3"/>
    <mergeCell ref="H4:H6"/>
    <mergeCell ref="J4:L4"/>
    <mergeCell ref="A43:A58"/>
    <mergeCell ref="J43:J59"/>
    <mergeCell ref="A60:A75"/>
    <mergeCell ref="J60:J76"/>
    <mergeCell ref="A77:A92"/>
    <mergeCell ref="E7:F7"/>
    <mergeCell ref="A9:A24"/>
    <mergeCell ref="A26:A41"/>
    <mergeCell ref="J26:J42"/>
    <mergeCell ref="A7:B7"/>
    <mergeCell ref="U89:W89"/>
    <mergeCell ref="U90:W90"/>
    <mergeCell ref="U91:W91"/>
    <mergeCell ref="U84:W84"/>
    <mergeCell ref="A128:A143"/>
    <mergeCell ref="J128:J144"/>
    <mergeCell ref="A111:A126"/>
    <mergeCell ref="J111:J127"/>
    <mergeCell ref="A94:A109"/>
    <mergeCell ref="J94:J110"/>
    <mergeCell ref="J77:J93"/>
    <mergeCell ref="U88:W88"/>
    <mergeCell ref="U81:W81"/>
    <mergeCell ref="U82:W82"/>
    <mergeCell ref="U83:W83"/>
    <mergeCell ref="U85:W85"/>
    <mergeCell ref="U86:W86"/>
    <mergeCell ref="U87:W87"/>
    <mergeCell ref="U76:W76"/>
    <mergeCell ref="U77:W77"/>
    <mergeCell ref="U78:W78"/>
    <mergeCell ref="U79:W79"/>
    <mergeCell ref="U80:W80"/>
  </mergeCells>
  <phoneticPr fontId="22" type="noConversion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906C-B4A7-4107-B3FB-DCBB0BBAC777}">
  <dimension ref="A4:A32"/>
  <sheetViews>
    <sheetView showGridLines="0" workbookViewId="0">
      <selection activeCell="A30" sqref="A30"/>
    </sheetView>
    <sheetView showGridLines="0" workbookViewId="1">
      <selection activeCell="A33" sqref="A33"/>
    </sheetView>
  </sheetViews>
  <sheetFormatPr defaultColWidth="9.1328125" defaultRowHeight="13" x14ac:dyDescent="0.6"/>
  <cols>
    <col min="1" max="16384" width="9.1328125" style="406"/>
  </cols>
  <sheetData>
    <row r="4" spans="1:1" x14ac:dyDescent="0.6">
      <c r="A4" s="406">
        <v>2020</v>
      </c>
    </row>
    <row r="5" spans="1:1" x14ac:dyDescent="0.6">
      <c r="A5" s="406" t="s">
        <v>726</v>
      </c>
    </row>
    <row r="6" spans="1:1" x14ac:dyDescent="0.6">
      <c r="A6" s="406" t="s">
        <v>727</v>
      </c>
    </row>
    <row r="7" spans="1:1" x14ac:dyDescent="0.6">
      <c r="A7" s="406" t="s">
        <v>728</v>
      </c>
    </row>
    <row r="8" spans="1:1" x14ac:dyDescent="0.6">
      <c r="A8" s="406" t="s">
        <v>729</v>
      </c>
    </row>
    <row r="9" spans="1:1" x14ac:dyDescent="0.6">
      <c r="A9" s="406" t="s">
        <v>730</v>
      </c>
    </row>
    <row r="10" spans="1:1" x14ac:dyDescent="0.6">
      <c r="A10" s="412" t="s">
        <v>731</v>
      </c>
    </row>
    <row r="11" spans="1:1" x14ac:dyDescent="0.6">
      <c r="A11" s="406" t="s">
        <v>732</v>
      </c>
    </row>
    <row r="12" spans="1:1" x14ac:dyDescent="0.6">
      <c r="A12" s="406" t="s">
        <v>733</v>
      </c>
    </row>
    <row r="13" spans="1:1" x14ac:dyDescent="0.6">
      <c r="A13" s="406" t="s">
        <v>734</v>
      </c>
    </row>
    <row r="14" spans="1:1" x14ac:dyDescent="0.6">
      <c r="A14" s="406" t="s">
        <v>735</v>
      </c>
    </row>
    <row r="24" spans="1:1" x14ac:dyDescent="0.6">
      <c r="A24" s="406">
        <v>2024</v>
      </c>
    </row>
    <row r="25" spans="1:1" x14ac:dyDescent="0.6">
      <c r="A25" s="406" t="s">
        <v>1044</v>
      </c>
    </row>
    <row r="26" spans="1:1" x14ac:dyDescent="0.6">
      <c r="A26" s="406" t="s">
        <v>1045</v>
      </c>
    </row>
    <row r="27" spans="1:1" x14ac:dyDescent="0.6">
      <c r="A27" s="406" t="s">
        <v>959</v>
      </c>
    </row>
    <row r="28" spans="1:1" x14ac:dyDescent="0.6">
      <c r="A28" s="406" t="s">
        <v>1047</v>
      </c>
    </row>
    <row r="29" spans="1:1" x14ac:dyDescent="0.6">
      <c r="A29" s="406" t="s">
        <v>1018</v>
      </c>
    </row>
    <row r="30" spans="1:1" x14ac:dyDescent="0.6">
      <c r="A30" s="406" t="s">
        <v>1046</v>
      </c>
    </row>
    <row r="31" spans="1:1" x14ac:dyDescent="0.6">
      <c r="A31" s="406" t="s">
        <v>1048</v>
      </c>
    </row>
    <row r="32" spans="1:1" x14ac:dyDescent="0.6">
      <c r="A32" s="406" t="s">
        <v>1049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B3D0E-E168-4BD2-B54D-5555CE0374FD}">
  <dimension ref="B4:AC101"/>
  <sheetViews>
    <sheetView showGridLines="0" tabSelected="1" topLeftCell="D58" zoomScale="90" zoomScaleNormal="90" workbookViewId="0">
      <selection activeCell="B40" sqref="B40:F42"/>
    </sheetView>
    <sheetView showGridLines="0" tabSelected="1" workbookViewId="1">
      <selection activeCell="B65" sqref="B65"/>
    </sheetView>
  </sheetViews>
  <sheetFormatPr defaultColWidth="9.1328125" defaultRowHeight="13" x14ac:dyDescent="0.6"/>
  <cols>
    <col min="1" max="1" width="1.7265625" style="406" customWidth="1"/>
    <col min="2" max="2" width="32.26953125" style="406" customWidth="1"/>
    <col min="3" max="3" width="16" style="406" customWidth="1"/>
    <col min="4" max="4" width="15" style="406" customWidth="1"/>
    <col min="5" max="5" width="11.40625" style="406" customWidth="1"/>
    <col min="6" max="6" width="10.86328125" style="406" customWidth="1"/>
    <col min="7" max="7" width="16.1328125" style="406" customWidth="1"/>
    <col min="8" max="8" width="21" style="406" customWidth="1"/>
    <col min="9" max="9" width="16.1328125" style="406" customWidth="1"/>
    <col min="10" max="11" width="9.1328125" style="406"/>
    <col min="12" max="12" width="10.1328125" style="406" bestFit="1" customWidth="1"/>
    <col min="13" max="16384" width="9.1328125" style="406"/>
  </cols>
  <sheetData>
    <row r="4" spans="2:28" ht="20.5" x14ac:dyDescent="0.9">
      <c r="B4"/>
      <c r="C4" s="710" t="s">
        <v>77</v>
      </c>
      <c r="D4" s="711">
        <v>2023</v>
      </c>
    </row>
    <row r="7" spans="2:28" x14ac:dyDescent="0.6">
      <c r="AB7"/>
    </row>
    <row r="9" spans="2:28" ht="18" x14ac:dyDescent="0.8">
      <c r="B9" s="407" t="s">
        <v>78</v>
      </c>
      <c r="C9" s="415" t="s">
        <v>79</v>
      </c>
    </row>
    <row r="10" spans="2:28" ht="13.75" thickBot="1" x14ac:dyDescent="0.75">
      <c r="C10" s="408" t="s">
        <v>3</v>
      </c>
      <c r="D10" s="408" t="s">
        <v>80</v>
      </c>
      <c r="E10" s="408" t="s">
        <v>81</v>
      </c>
      <c r="F10" s="408" t="s">
        <v>82</v>
      </c>
    </row>
    <row r="11" spans="2:28" ht="16" thickTop="1" thickBot="1" x14ac:dyDescent="0.85">
      <c r="B11" s="409" t="s">
        <v>83</v>
      </c>
      <c r="C11" s="410">
        <f>C12+C14+C15</f>
        <v>35457.380559969104</v>
      </c>
      <c r="D11" s="411">
        <f>C15</f>
        <v>11713.085440000001</v>
      </c>
      <c r="E11" s="411">
        <f>C11-C13-C15</f>
        <v>23463.731116357594</v>
      </c>
      <c r="F11" s="411">
        <f>C13</f>
        <v>280.56400361150844</v>
      </c>
    </row>
    <row r="12" spans="2:28" ht="13.75" thickTop="1" x14ac:dyDescent="0.6">
      <c r="B12" s="406" t="s">
        <v>84</v>
      </c>
      <c r="C12" s="411">
        <f>INDEX(Reykjavík!$A$2:$K$65,MATCH("Losun vegna raforku",Reykjavík!$A$2:$A$65,0),MATCH($D$4,Reykjavík!$A$3:$K$3,0))</f>
        <v>6306.3991199691027</v>
      </c>
    </row>
    <row r="13" spans="2:28" x14ac:dyDescent="0.6">
      <c r="B13" s="412" t="s">
        <v>85</v>
      </c>
      <c r="C13" s="411">
        <f>INDEX(Reykjavík!$A$2:$K$65,MATCH(" Þar af vegna dreifitapa",Reykjavík!$A$2:$A$65,0),MATCH($D$4,Reykjavík!$A$3:$K$3,0))</f>
        <v>280.56400361150844</v>
      </c>
    </row>
    <row r="14" spans="2:28" x14ac:dyDescent="0.6">
      <c r="B14" s="406" t="s">
        <v>86</v>
      </c>
      <c r="C14" s="411">
        <f>INDEX(Reykjavík!$A$2:$K$65,MATCH("Losun vegna hitaveitu",Reykjavík!$A$2:$A$65,0),MATCH($D$4,Reykjavík!$A$3:$K$3,0))</f>
        <v>17437.896000000001</v>
      </c>
      <c r="G14" s="412"/>
    </row>
    <row r="15" spans="2:28" x14ac:dyDescent="0.6">
      <c r="B15" s="406" t="s">
        <v>87</v>
      </c>
      <c r="C15" s="411">
        <f>INDEX(Reykjavík!$A$105:$K$145,MATCH("byggingariðnaður - orka á verkstað",Reykjavík!$A$105:$A$145,0),MATCH($D$4,Reykjavík!$A$3:$K$3,0))</f>
        <v>11713.085440000001</v>
      </c>
      <c r="G15" s="412"/>
    </row>
    <row r="16" spans="2:28" ht="15.25" thickBot="1" x14ac:dyDescent="0.85">
      <c r="B16" s="409" t="s">
        <v>88</v>
      </c>
      <c r="C16" s="410">
        <f>C17+C18+C20</f>
        <v>321195.69288844545</v>
      </c>
      <c r="D16" s="411">
        <f>C17+C18+C20</f>
        <v>321195.69288844545</v>
      </c>
      <c r="F16" s="411"/>
    </row>
    <row r="17" spans="2:29" ht="13.75" thickTop="1" x14ac:dyDescent="0.6">
      <c r="B17" s="406" t="s">
        <v>89</v>
      </c>
      <c r="C17" s="411">
        <f>INDEX(Reykjavík!$A$2:$K$65,MATCH("Losun vegna götuumferðar",Reykjavík!$A$2:$A$65,0),MATCH($D$4,Reykjavík!$A$3:$K$3,0))</f>
        <v>263036.99088380265</v>
      </c>
      <c r="AC17"/>
    </row>
    <row r="18" spans="2:29" x14ac:dyDescent="0.6">
      <c r="B18" s="406" t="s">
        <v>90</v>
      </c>
      <c r="C18" s="411">
        <f>INDEX(Reykjavík!$A$2:$K$65,MATCH("Losun vegna skipa",Reykjavík!$A$2:$A$65,0),MATCH($D$4,Reykjavík!$A$3:$K$3,0))</f>
        <v>51970</v>
      </c>
    </row>
    <row r="19" spans="2:29" x14ac:dyDescent="0.6">
      <c r="B19" s="406" t="s">
        <v>1043</v>
      </c>
      <c r="C19" s="411">
        <f>INDEX(Reykjavík!$A$2:$K$65,MATCH(" Með Well to Tank",Reykjavík!$A$2:$A$65,0),MATCH($D$4,Reykjavík!$A$3:$K$3,0))</f>
        <v>64372</v>
      </c>
    </row>
    <row r="20" spans="2:29" x14ac:dyDescent="0.6">
      <c r="B20" s="406" t="s">
        <v>91</v>
      </c>
      <c r="C20" s="411">
        <f>INDEX(Reykjavík!$A$2:$K$65,MATCH("Losun vegna flugumferðar",Reykjavík!$A$2:$A$65,0),MATCH($D$4,Reykjavík!$A$3:$K$3,0))</f>
        <v>6188.7020046428052</v>
      </c>
    </row>
    <row r="21" spans="2:29" ht="15.25" thickBot="1" x14ac:dyDescent="0.85">
      <c r="B21" s="409" t="s">
        <v>9</v>
      </c>
      <c r="C21" s="410">
        <f>C23+C25+C27+C28+C29</f>
        <v>62797.278812701777</v>
      </c>
      <c r="D21" s="411">
        <f>C23+C25+C29</f>
        <v>56569.330630671371</v>
      </c>
      <c r="F21" s="411">
        <f>C28+C27</f>
        <v>6227.948182030409</v>
      </c>
    </row>
    <row r="22" spans="2:29" ht="13.75" thickTop="1" x14ac:dyDescent="0.6">
      <c r="B22" s="406" t="s">
        <v>92</v>
      </c>
      <c r="C22" s="411">
        <f>INDEX(Reykjavík!$A$2:$K$65,MATCH("Losun vegna urðunar",Reykjavík!$A$2:$A$65,0),MATCH($D$4,Reykjavík!$A$3:$K$3,0))</f>
        <v>93455.481703900878</v>
      </c>
    </row>
    <row r="23" spans="2:29" x14ac:dyDescent="0.6">
      <c r="B23" s="412" t="s">
        <v>1029</v>
      </c>
      <c r="C23" s="411">
        <f>INDEX(Reykjavík!$A$2:$K$65,MATCH("urðun úrgangs reykjavíkur",Reykjavík!$A$2:$A$65,0),MATCH($D$4,Reykjavík!$A$3:$K$3,0))</f>
        <v>52511.084212098373</v>
      </c>
      <c r="E23" s="411"/>
    </row>
    <row r="24" spans="2:29" x14ac:dyDescent="0.6">
      <c r="B24" s="412" t="s">
        <v>31</v>
      </c>
      <c r="C24" s="411">
        <f>INDEX(Reykjavík!$A$2:$K$65,MATCH("losun vegna jarðgerðar",Reykjavík!$A$2:$A$65,0),MATCH($D$4,Reykjavík!$A$3:$K$3,0))</f>
        <v>803.27700000000004</v>
      </c>
    </row>
    <row r="25" spans="2:29" x14ac:dyDescent="0.6">
      <c r="B25" s="412" t="s">
        <v>1029</v>
      </c>
      <c r="C25" s="411">
        <f>INDEX(Reykjavík!$A$2:$K$65,MATCH("jarðgerð úrgangs reykjavíkur",Reykjavík!$A$2:$A$65,0),MATCH($D$4,Reykjavík!$A$3:$K$3,0))</f>
        <v>451.34801537148456</v>
      </c>
    </row>
    <row r="26" spans="2:29" x14ac:dyDescent="0.6">
      <c r="B26" s="412" t="s">
        <v>1030</v>
      </c>
      <c r="C26" s="411">
        <f>INDEX(Reykjavík!$A$2:$K$65,MATCH("Losun vegna brennslu erlendis",Reykjavík!$A$2:$A$65,0),MATCH($D$4,Reykjavík!$A$3:$K$3,0))</f>
        <v>3204.377892</v>
      </c>
    </row>
    <row r="27" spans="2:29" x14ac:dyDescent="0.6">
      <c r="B27" s="412" t="s">
        <v>1029</v>
      </c>
      <c r="C27" s="411">
        <f>INDEX(Reykjavík!$A$2:$K$65,MATCH("Brennsla úrgangs Reykjavíkur",Reykjavík!$A$2:$A$65,0),MATCH($D$4,Reykjavík!$A$3:$K$3,0))</f>
        <v>1800.486758682822</v>
      </c>
    </row>
    <row r="28" spans="2:29" x14ac:dyDescent="0.6">
      <c r="B28" s="406" t="s">
        <v>1031</v>
      </c>
      <c r="C28" s="411">
        <f>INDEX(Reykjavík!$A$2:$K$65,MATCH("Losun vegna brennslu",Reykjavík!$A$2:$A$65,0),MATCH($D$4,Reykjavík!$A$3:$K$3,0))</f>
        <v>4427.4614233475868</v>
      </c>
    </row>
    <row r="29" spans="2:29" x14ac:dyDescent="0.6">
      <c r="B29" s="406" t="s">
        <v>94</v>
      </c>
      <c r="C29" s="411">
        <f>INDEX(Reykjavík!$A$2:$K$65,MATCH("Losun vegna fráveitu",Reykjavík!$A$2:$A$65,0),MATCH($D$4,Reykjavík!$A$3:$K$3,0))</f>
        <v>3606.8984032015128</v>
      </c>
    </row>
    <row r="30" spans="2:29" ht="15.25" thickBot="1" x14ac:dyDescent="0.85">
      <c r="B30" s="409" t="s">
        <v>95</v>
      </c>
      <c r="C30" s="410">
        <f>C31+C32</f>
        <v>47647.738997281536</v>
      </c>
      <c r="D30" s="411">
        <f>C30</f>
        <v>47647.738997281536</v>
      </c>
    </row>
    <row r="31" spans="2:29" ht="13.75" thickTop="1" x14ac:dyDescent="0.6">
      <c r="B31" s="406" t="s">
        <v>96</v>
      </c>
      <c r="C31" s="411">
        <f>INDEX(Reykjavík!$A$2:$K$65,MATCH("Losun vegna búfjárræktunar",Reykjavík!$A$2:$A$65,0),MATCH($D$4,Reykjavík!$A$3:$K$3,0))</f>
        <v>2225.7389972815336</v>
      </c>
    </row>
    <row r="32" spans="2:29" x14ac:dyDescent="0.6">
      <c r="B32" s="406" t="s">
        <v>97</v>
      </c>
      <c r="C32" s="406">
        <f>INDEX(Reykjavík!$A$2:$K$65,MATCH("Losun vegna landnotkunar",Reykjavík!$A$2:$A$65,0),MATCH($D$4,Reykjavík!$A$3:$K$3,0))</f>
        <v>45422</v>
      </c>
    </row>
    <row r="33" spans="2:6" ht="15.25" thickBot="1" x14ac:dyDescent="0.85">
      <c r="B33" s="409" t="s">
        <v>98</v>
      </c>
      <c r="C33" s="410">
        <f>C34+C36+C35</f>
        <v>129672.50674823011</v>
      </c>
      <c r="D33" s="411">
        <f>C33-C35-C36</f>
        <v>40884.32908310042</v>
      </c>
      <c r="E33" s="413"/>
      <c r="F33" s="411">
        <f>C35+C36</f>
        <v>88788.177665129697</v>
      </c>
    </row>
    <row r="34" spans="2:6" ht="13.75" thickTop="1" x14ac:dyDescent="0.6">
      <c r="B34" s="706" t="s">
        <v>25</v>
      </c>
      <c r="C34" s="702">
        <f>INDEX(Reykjavík!$A$2:$K$145,MATCH("Samtals losun vegna efnanotkunar",Reykjavík!$A$2:$A$145,0),MATCH($D$4,Reykjavík!$A$3:$K$3,0))</f>
        <v>40884.329083100427</v>
      </c>
      <c r="D34" s="411"/>
      <c r="E34" s="413"/>
      <c r="F34" s="411"/>
    </row>
    <row r="35" spans="2:6" x14ac:dyDescent="0.6">
      <c r="B35" s="706" t="s">
        <v>99</v>
      </c>
      <c r="C35" s="702">
        <f>INDEX(Reykjavík!$A$2:$K$145,MATCH("byggingariðnaður - efni",Reykjavík!$A$2:$A$145,0),MATCH($D$4,Reykjavík!$A$3:$K$3,0))</f>
        <v>76957.18912000001</v>
      </c>
      <c r="F35" s="411"/>
    </row>
    <row r="36" spans="2:6" x14ac:dyDescent="0.6">
      <c r="B36" s="706" t="s">
        <v>17</v>
      </c>
      <c r="C36" s="702">
        <f>INDEX(Reykjavík!$A$2:$K$145,MATCH("losun matvælaframleiðslu í RVK",Reykjavík!$A$2:$A$145,0),MATCH($D$4,Reykjavík!$A$3:$K$3,0))</f>
        <v>11830.988545129681</v>
      </c>
      <c r="F36" s="411"/>
    </row>
    <row r="37" spans="2:6" ht="14.5" x14ac:dyDescent="0.7">
      <c r="B37" s="414" t="s">
        <v>3</v>
      </c>
      <c r="C37" s="728">
        <f>C30+C21+C16+C11+C33</f>
        <v>596770.59800662799</v>
      </c>
      <c r="D37" s="728">
        <f>SUM(D11:D35)</f>
        <v>478010.17703949875</v>
      </c>
      <c r="E37" s="728">
        <f>SUM(E11:E35)</f>
        <v>23463.731116357594</v>
      </c>
      <c r="F37" s="728">
        <f>SUM(F11:F35)</f>
        <v>95296.689850771611</v>
      </c>
    </row>
    <row r="38" spans="2:6" x14ac:dyDescent="0.6">
      <c r="B38" s="731" t="s">
        <v>100</v>
      </c>
      <c r="C38" s="729">
        <f>Reykjavík!M169</f>
        <v>4.4436298232782914</v>
      </c>
      <c r="D38" s="729">
        <f>Reykjavík!M170</f>
        <v>3.559324614212414</v>
      </c>
      <c r="E38" s="730">
        <f>Reykjavík!M171</f>
        <v>0.17471392810285777</v>
      </c>
      <c r="F38" s="730">
        <f>Reykjavík!M172</f>
        <v>0.7095912809630196</v>
      </c>
    </row>
    <row r="40" spans="2:6" x14ac:dyDescent="0.6">
      <c r="B40" s="406" t="s">
        <v>73</v>
      </c>
      <c r="C40" s="411">
        <f>C12+C14+C17+C18+C20+C23+C25+C27+C28+C29+C15-C13</f>
        <v>419169.78825750481</v>
      </c>
      <c r="D40" s="411">
        <f>D11+D16+D21</f>
        <v>389478.1089591168</v>
      </c>
      <c r="E40" s="411">
        <f>E11</f>
        <v>23463.731116357594</v>
      </c>
      <c r="F40" s="411">
        <f>F21</f>
        <v>6227.948182030409</v>
      </c>
    </row>
    <row r="41" spans="2:6" x14ac:dyDescent="0.6">
      <c r="B41" s="406" t="s">
        <v>1036</v>
      </c>
      <c r="C41" s="411">
        <f>C40+C31+C32+C34+C13</f>
        <v>507982.42034149828</v>
      </c>
      <c r="D41" s="411">
        <f>D40+D30+D33</f>
        <v>478010.17703949875</v>
      </c>
      <c r="E41" s="411">
        <f>E40</f>
        <v>23463.731116357594</v>
      </c>
      <c r="F41" s="411">
        <f>F40+F11</f>
        <v>6508.5121856419173</v>
      </c>
    </row>
    <row r="42" spans="2:6" x14ac:dyDescent="0.6">
      <c r="B42" s="406" t="s">
        <v>1037</v>
      </c>
      <c r="C42" s="411">
        <f>C41+C35+C36</f>
        <v>596770.59800662799</v>
      </c>
      <c r="D42" s="411">
        <f>D41</f>
        <v>478010.17703949875</v>
      </c>
      <c r="E42" s="411">
        <f>E41</f>
        <v>23463.731116357594</v>
      </c>
      <c r="F42" s="411">
        <f>F41+F33</f>
        <v>95296.689850771611</v>
      </c>
    </row>
    <row r="43" spans="2:6" x14ac:dyDescent="0.6">
      <c r="B43" s="411"/>
      <c r="C43" s="411"/>
      <c r="D43" s="411"/>
      <c r="E43" s="411"/>
      <c r="F43" s="411"/>
    </row>
    <row r="44" spans="2:6" x14ac:dyDescent="0.6">
      <c r="C44" s="411"/>
      <c r="D44" s="411"/>
      <c r="E44" s="411"/>
      <c r="F44" s="411"/>
    </row>
    <row r="45" spans="2:6" x14ac:dyDescent="0.6">
      <c r="C45" s="411"/>
      <c r="D45" s="411"/>
    </row>
    <row r="46" spans="2:6" x14ac:dyDescent="0.6">
      <c r="B46" s="411"/>
      <c r="D46" s="411"/>
    </row>
    <row r="49" spans="2:6" x14ac:dyDescent="0.6">
      <c r="D49" s="411"/>
    </row>
    <row r="51" spans="2:6" x14ac:dyDescent="0.6">
      <c r="F51" s="411"/>
    </row>
    <row r="52" spans="2:6" x14ac:dyDescent="0.6">
      <c r="F52" s="411"/>
    </row>
    <row r="53" spans="2:6" x14ac:dyDescent="0.6">
      <c r="C53" s="411"/>
      <c r="F53" s="411"/>
    </row>
    <row r="54" spans="2:6" x14ac:dyDescent="0.6">
      <c r="F54" s="411"/>
    </row>
    <row r="55" spans="2:6" x14ac:dyDescent="0.6">
      <c r="F55" s="411"/>
    </row>
    <row r="56" spans="2:6" x14ac:dyDescent="0.6">
      <c r="F56" s="411"/>
    </row>
    <row r="57" spans="2:6" x14ac:dyDescent="0.6">
      <c r="F57" s="411"/>
    </row>
    <row r="58" spans="2:6" x14ac:dyDescent="0.6">
      <c r="F58" s="411"/>
    </row>
    <row r="59" spans="2:6" x14ac:dyDescent="0.6">
      <c r="F59" s="411"/>
    </row>
    <row r="60" spans="2:6" x14ac:dyDescent="0.6">
      <c r="F60" s="411"/>
    </row>
    <row r="64" spans="2:6" x14ac:dyDescent="0.6">
      <c r="B64" s="713" t="s">
        <v>101</v>
      </c>
      <c r="C64" s="713" t="s">
        <v>102</v>
      </c>
    </row>
    <row r="65" spans="2:8" ht="18" x14ac:dyDescent="0.8">
      <c r="B65" s="712" t="s">
        <v>231</v>
      </c>
      <c r="C65" s="712" t="s">
        <v>25</v>
      </c>
    </row>
    <row r="80" spans="2:8" ht="15.25" x14ac:dyDescent="0.65">
      <c r="G80" s="708">
        <f>Reykjavík!M136</f>
        <v>419169.78825750481</v>
      </c>
      <c r="H80" s="703" t="s">
        <v>104</v>
      </c>
    </row>
    <row r="81" spans="2:8" ht="15.25" x14ac:dyDescent="0.65">
      <c r="G81" s="709">
        <f>Reykjavík!M167</f>
        <v>3.1211915907720504</v>
      </c>
      <c r="H81" s="703" t="s">
        <v>105</v>
      </c>
    </row>
    <row r="88" spans="2:8" x14ac:dyDescent="0.6">
      <c r="B88" s="713" t="s">
        <v>101</v>
      </c>
      <c r="C88" s="713" t="s">
        <v>102</v>
      </c>
    </row>
    <row r="89" spans="2:8" ht="18" x14ac:dyDescent="0.8">
      <c r="B89" s="712" t="s">
        <v>106</v>
      </c>
      <c r="C89" s="712" t="s">
        <v>88</v>
      </c>
    </row>
    <row r="100" spans="7:8" ht="15.25" x14ac:dyDescent="0.65">
      <c r="G100" s="708">
        <f>Reykjavík!M137</f>
        <v>507982.42034149828</v>
      </c>
      <c r="H100" s="703" t="s">
        <v>104</v>
      </c>
    </row>
    <row r="101" spans="7:8" ht="15.25" x14ac:dyDescent="0.65">
      <c r="G101" s="709">
        <f>Reykjavík!M168</f>
        <v>3.782501752382748</v>
      </c>
      <c r="H101" s="703" t="s">
        <v>105</v>
      </c>
    </row>
  </sheetData>
  <sheetProtection algorithmName="SHA-512" hashValue="UOQ0OGonbRdI1tq81xK0PsX8vI2rnm5c4eW+Zvf1VlbaB4cwSmyTcFezUTK5N5RvAVut5TdQHeZ9cpy3gcdHXQ==" saltValue="1OXOVB3jLXRaxDhPS8wKUA==" spinCount="100000" sheet="1" selectLockedCells="1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3E34C25-EE92-4947-BE41-B0F371D4EAF2}">
          <x14:formula1>
            <xm:f>Reykjavík!$D$3:$K$3</xm:f>
          </x14:formula1>
          <xm:sqref>D4</xm:sqref>
        </x14:dataValidation>
        <x14:dataValidation type="list" allowBlank="1" showInputMessage="1" showErrorMessage="1" xr:uid="{44E761EC-1901-4D9E-9026-3055F4F3E89A}">
          <x14:formula1>
            <xm:f>Reykjavík!$P$123:$U$123</xm:f>
          </x14:formula1>
          <xm:sqref>B65 B89</xm:sqref>
        </x14:dataValidation>
        <x14:dataValidation type="list" allowBlank="1" showInputMessage="1" showErrorMessage="1" xr:uid="{B541C18B-30E1-45D0-A621-103DCE61DD1D}">
          <x14:formula1>
            <xm:f>OFFSET(Reykjavík!$P$123,1,MATCH($B65,Reykjavík!$P$123:$U$123,0)-1,COUNTA(OFFSET(Reykjavík!$P$123,1,MATCH($B65,Reykjavík!$P$123:$U$123,0)-1,7,1)),1)</xm:f>
          </x14:formula1>
          <xm:sqref>C65 C89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BA52-C874-41B4-B6E8-24A5306B3580}">
  <dimension ref="B4:AC101"/>
  <sheetViews>
    <sheetView showGridLines="0" zoomScale="80" zoomScaleNormal="80" workbookViewId="0">
      <selection activeCell="C39" sqref="C39"/>
    </sheetView>
    <sheetView showGridLines="0" workbookViewId="1">
      <selection activeCell="D58" sqref="D58"/>
    </sheetView>
  </sheetViews>
  <sheetFormatPr defaultColWidth="9.1328125" defaultRowHeight="13" x14ac:dyDescent="0.6"/>
  <cols>
    <col min="1" max="1" width="1.7265625" style="406" customWidth="1"/>
    <col min="2" max="2" width="32.26953125" style="406" customWidth="1"/>
    <col min="3" max="3" width="16" style="406" customWidth="1"/>
    <col min="4" max="4" width="15" style="406" customWidth="1"/>
    <col min="5" max="5" width="11.40625" style="406" customWidth="1"/>
    <col min="6" max="6" width="10.86328125" style="406" customWidth="1"/>
    <col min="7" max="7" width="16.1328125" style="406" customWidth="1"/>
    <col min="8" max="8" width="21" style="406" customWidth="1"/>
    <col min="9" max="9" width="16.1328125" style="406" customWidth="1"/>
    <col min="10" max="11" width="9.1328125" style="406"/>
    <col min="12" max="12" width="10.1328125" style="406" bestFit="1" customWidth="1"/>
    <col min="13" max="16384" width="9.1328125" style="406"/>
  </cols>
  <sheetData>
    <row r="4" spans="2:28" ht="20.5" x14ac:dyDescent="0.9">
      <c r="B4"/>
      <c r="C4" s="710" t="s">
        <v>41</v>
      </c>
      <c r="D4" s="950">
        <v>2023</v>
      </c>
    </row>
    <row r="7" spans="2:28" x14ac:dyDescent="0.6">
      <c r="AB7"/>
    </row>
    <row r="9" spans="2:28" ht="18.75" x14ac:dyDescent="0.95">
      <c r="B9" s="407" t="s">
        <v>42</v>
      </c>
      <c r="C9" s="415" t="s">
        <v>43</v>
      </c>
    </row>
    <row r="10" spans="2:28" ht="13.75" thickBot="1" x14ac:dyDescent="0.75">
      <c r="C10" s="408" t="s">
        <v>44</v>
      </c>
      <c r="D10" s="408" t="s">
        <v>45</v>
      </c>
      <c r="E10" s="408" t="s">
        <v>46</v>
      </c>
      <c r="F10" s="408" t="s">
        <v>47</v>
      </c>
    </row>
    <row r="11" spans="2:28" ht="16" thickTop="1" thickBot="1" x14ac:dyDescent="0.85">
      <c r="B11" s="409" t="s">
        <v>48</v>
      </c>
      <c r="C11" s="410">
        <f>C12+C14+C15</f>
        <v>35457.380559969104</v>
      </c>
      <c r="D11" s="411">
        <f>C15</f>
        <v>11713.085440000001</v>
      </c>
      <c r="E11" s="411">
        <f>C11-C13-C15</f>
        <v>23463.731116357594</v>
      </c>
      <c r="F11" s="411">
        <f>C13</f>
        <v>280.56400361150844</v>
      </c>
    </row>
    <row r="12" spans="2:28" ht="13.75" thickTop="1" x14ac:dyDescent="0.6">
      <c r="B12" s="406" t="s">
        <v>49</v>
      </c>
      <c r="C12" s="411">
        <f>INDEX(Reykjavík!$A$2:$K$65,MATCH("Losun vegna raforku",Reykjavík!$A$2:$A$65,0),MATCH($D$4,Reykjavík!$A$3:$K$3,0))</f>
        <v>6306.3991199691027</v>
      </c>
    </row>
    <row r="13" spans="2:28" x14ac:dyDescent="0.6">
      <c r="B13" s="412" t="s">
        <v>50</v>
      </c>
      <c r="C13" s="411">
        <f>INDEX(Reykjavík!$A$2:$K$65,MATCH(" Þar af vegna dreifitapa",Reykjavík!$A$2:$A$65,0),MATCH($D$4,Reykjavík!$A$3:$K$3,0))</f>
        <v>280.56400361150844</v>
      </c>
    </row>
    <row r="14" spans="2:28" x14ac:dyDescent="0.6">
      <c r="B14" s="406" t="s">
        <v>51</v>
      </c>
      <c r="C14" s="411">
        <f>INDEX(Reykjavík!$A$2:$K$65,MATCH("Losun vegna hitaveitu",Reykjavík!$A$2:$A$65,0),MATCH($D$4,Reykjavík!$A$3:$K$3,0))</f>
        <v>17437.896000000001</v>
      </c>
      <c r="G14" s="412"/>
    </row>
    <row r="15" spans="2:28" x14ac:dyDescent="0.6">
      <c r="B15" s="406" t="s">
        <v>52</v>
      </c>
      <c r="C15" s="411">
        <f>INDEX(Reykjavík!$A$105:$K$145,MATCH("byggingariðnaður - orka á verkstað",Reykjavík!$A$105:$A$145,0),MATCH($D$4,Reykjavík!$A$3:$K$3,0))</f>
        <v>11713.085440000001</v>
      </c>
      <c r="G15" s="412"/>
    </row>
    <row r="16" spans="2:28" ht="15.25" thickBot="1" x14ac:dyDescent="0.85">
      <c r="B16" s="409" t="s">
        <v>53</v>
      </c>
      <c r="C16" s="410">
        <f>C17+C18+C20</f>
        <v>321195.69288844545</v>
      </c>
      <c r="D16" s="411">
        <f>C16</f>
        <v>321195.69288844545</v>
      </c>
    </row>
    <row r="17" spans="2:29" ht="13.75" thickTop="1" x14ac:dyDescent="0.6">
      <c r="B17" s="406" t="s">
        <v>54</v>
      </c>
      <c r="C17" s="411">
        <f>INDEX(Reykjavík!$A$2:$K$65,MATCH("Losun vegna götuumferðar",Reykjavík!$A$2:$A$65,0),MATCH($D$4,Reykjavík!$A$3:$K$3,0))</f>
        <v>263036.99088380265</v>
      </c>
      <c r="AC17"/>
    </row>
    <row r="18" spans="2:29" x14ac:dyDescent="0.6">
      <c r="B18" s="406" t="s">
        <v>55</v>
      </c>
      <c r="C18" s="411">
        <f>INDEX(Reykjavík!$A$2:$K$65,MATCH("Losun vegna skipa",Reykjavík!$A$2:$A$65,0),MATCH($D$4,Reykjavík!$A$3:$K$3,0))</f>
        <v>51970</v>
      </c>
    </row>
    <row r="19" spans="2:29" x14ac:dyDescent="0.6">
      <c r="B19" s="406" t="s">
        <v>1042</v>
      </c>
      <c r="C19" s="411">
        <f>INDEX(Reykjavík!$A$2:$K$65,MATCH(" Með Well to Tank",Reykjavík!$A$2:$A$65,0),MATCH($D$4,Reykjavík!$A$3:$K$3,0))</f>
        <v>64372</v>
      </c>
    </row>
    <row r="20" spans="2:29" x14ac:dyDescent="0.6">
      <c r="B20" s="406" t="s">
        <v>56</v>
      </c>
      <c r="C20" s="411">
        <f>INDEX(Reykjavík!$A$2:$K$65,MATCH("Losun vegna flugumferðar",Reykjavík!$A$2:$A$65,0),MATCH($D$4,Reykjavík!$A$3:$K$3,0))</f>
        <v>6188.7020046428052</v>
      </c>
    </row>
    <row r="21" spans="2:29" ht="15.25" thickBot="1" x14ac:dyDescent="0.85">
      <c r="B21" s="409" t="s">
        <v>57</v>
      </c>
      <c r="C21" s="410">
        <f>C23+C25+C27+C28+C29</f>
        <v>62797.278812701777</v>
      </c>
      <c r="D21" s="411">
        <f>C21-C28</f>
        <v>58369.81738935419</v>
      </c>
      <c r="F21" s="411">
        <f>C28+C27</f>
        <v>6227.948182030409</v>
      </c>
    </row>
    <row r="22" spans="2:29" ht="13.75" thickTop="1" x14ac:dyDescent="0.6">
      <c r="B22" s="406" t="s">
        <v>1038</v>
      </c>
      <c r="C22" s="411">
        <f>INDEX(Reykjavík!$A$2:$K$65,MATCH("Losun vegna urðunar",Reykjavík!$A$2:$A$65,0),MATCH($D$4,Reykjavík!$A$3:$K$3,0))</f>
        <v>93455.481703900878</v>
      </c>
    </row>
    <row r="23" spans="2:29" x14ac:dyDescent="0.6">
      <c r="B23" s="412" t="s">
        <v>1039</v>
      </c>
      <c r="C23" s="411">
        <f>INDEX(Reykjavík!$A$2:$K$65,MATCH("urðun úrgangs reykjavíkur",Reykjavík!$A$2:$A$65,0),MATCH($D$4,Reykjavík!$A$3:$K$3,0))</f>
        <v>52511.084212098373</v>
      </c>
      <c r="E23" s="411"/>
    </row>
    <row r="24" spans="2:29" x14ac:dyDescent="0.6">
      <c r="B24" s="412" t="s">
        <v>59</v>
      </c>
      <c r="C24" s="411">
        <f>INDEX(Reykjavík!$A$2:$K$65,MATCH("losun vegna jarðgerðar",Reykjavík!$A$2:$A$65,0),MATCH($D$4,Reykjavík!$A$3:$K$3,0))</f>
        <v>803.27700000000004</v>
      </c>
    </row>
    <row r="25" spans="2:29" x14ac:dyDescent="0.6">
      <c r="B25" s="412" t="s">
        <v>1039</v>
      </c>
      <c r="C25" s="411">
        <f>INDEX(Reykjavík!$A$2:$K$65,MATCH("jarðgerð úrgangs reykjavíkur",Reykjavík!$A$2:$A$65,0),MATCH($D$4,Reykjavík!$A$3:$K$3,0))</f>
        <v>451.34801537148456</v>
      </c>
    </row>
    <row r="26" spans="2:29" x14ac:dyDescent="0.6">
      <c r="B26" s="412" t="s">
        <v>1040</v>
      </c>
      <c r="C26" s="411">
        <f>INDEX(Reykjavík!$A$2:$K$65,MATCH("Losun vegna brennslu erlendis",Reykjavík!$A$2:$A$65,0),MATCH($D$4,Reykjavík!$A$3:$K$3,0))</f>
        <v>3204.377892</v>
      </c>
    </row>
    <row r="27" spans="2:29" x14ac:dyDescent="0.6">
      <c r="B27" s="412" t="s">
        <v>1039</v>
      </c>
      <c r="C27" s="411">
        <f>INDEX(Reykjavík!$A$2:$K$65,MATCH("Brennsla úrgangs Reykjavíkur",Reykjavík!$A$2:$A$65,0),MATCH($D$4,Reykjavík!$A$3:$K$3,0))</f>
        <v>1800.486758682822</v>
      </c>
    </row>
    <row r="28" spans="2:29" x14ac:dyDescent="0.6">
      <c r="B28" s="406" t="s">
        <v>1041</v>
      </c>
      <c r="C28" s="411">
        <f>INDEX(Reykjavík!$A$2:$K$65,MATCH("Losun vegna brennslu",Reykjavík!$A$2:$A$65,0),MATCH($D$4,Reykjavík!$A$3:$K$3,0))</f>
        <v>4427.4614233475868</v>
      </c>
    </row>
    <row r="29" spans="2:29" x14ac:dyDescent="0.6">
      <c r="B29" s="406" t="s">
        <v>94</v>
      </c>
      <c r="C29" s="411">
        <f>INDEX(Reykjavík!$A$2:$K$65,MATCH("Losun vegna fráveitu",Reykjavík!$A$2:$A$65,0),MATCH($D$4,Reykjavík!$A$3:$K$3,0))</f>
        <v>3606.8984032015128</v>
      </c>
    </row>
    <row r="30" spans="2:29" ht="15.25" thickBot="1" x14ac:dyDescent="0.85">
      <c r="B30" s="409" t="s">
        <v>62</v>
      </c>
      <c r="C30" s="410">
        <f>C31+C32</f>
        <v>47647.738997281536</v>
      </c>
      <c r="D30" s="411">
        <f>C30</f>
        <v>47647.738997281536</v>
      </c>
    </row>
    <row r="31" spans="2:29" ht="13.75" thickTop="1" x14ac:dyDescent="0.6">
      <c r="B31" s="406" t="s">
        <v>63</v>
      </c>
      <c r="C31" s="411">
        <f>INDEX(Reykjavík!$A$2:$K$65,MATCH("Losun vegna búfjárræktunar",Reykjavík!$A$2:$A$65,0),MATCH($D$4,Reykjavík!$A$3:$K$3,0))</f>
        <v>2225.7389972815336</v>
      </c>
    </row>
    <row r="32" spans="2:29" x14ac:dyDescent="0.6">
      <c r="B32" s="406" t="s">
        <v>64</v>
      </c>
      <c r="C32" s="406">
        <f>INDEX(Reykjavík!$A$2:$K$65,MATCH("Losun vegna landnotkunar",Reykjavík!$A$2:$A$65,0),MATCH($D$4,Reykjavík!$A$3:$K$3,0))</f>
        <v>45422</v>
      </c>
    </row>
    <row r="33" spans="2:6" ht="15.25" thickBot="1" x14ac:dyDescent="0.85">
      <c r="B33" s="409" t="s">
        <v>65</v>
      </c>
      <c r="C33" s="410">
        <f>C34+C36+C35</f>
        <v>129672.50674823011</v>
      </c>
      <c r="D33" s="411">
        <f>C33-C35-C36</f>
        <v>40884.32908310042</v>
      </c>
      <c r="E33" s="413"/>
      <c r="F33" s="411">
        <f>C35+C36</f>
        <v>88788.177665129697</v>
      </c>
    </row>
    <row r="34" spans="2:6" ht="13.75" thickTop="1" x14ac:dyDescent="0.6">
      <c r="B34" s="706" t="s">
        <v>66</v>
      </c>
      <c r="C34" s="702">
        <f>INDEX(Reykjavík!$A$2:$K$145,MATCH("Samtals losun vegna efnanotkunar",Reykjavík!$A$2:$A$145,0),MATCH($D$4,Reykjavík!$A$3:$K$3,0))</f>
        <v>40884.329083100427</v>
      </c>
      <c r="D34" s="411"/>
      <c r="E34" s="413"/>
      <c r="F34" s="411"/>
    </row>
    <row r="35" spans="2:6" x14ac:dyDescent="0.6">
      <c r="B35" s="706" t="s">
        <v>67</v>
      </c>
      <c r="C35" s="702">
        <f>INDEX(Reykjavík!$A$2:$K$145,MATCH("byggingariðnaður - efni",Reykjavík!$A$2:$A$145,0),MATCH($D$4,Reykjavík!$A$3:$K$3,0))</f>
        <v>76957.18912000001</v>
      </c>
      <c r="F35" s="411"/>
    </row>
    <row r="36" spans="2:6" x14ac:dyDescent="0.6">
      <c r="B36" s="706" t="s">
        <v>68</v>
      </c>
      <c r="C36" s="702">
        <f>INDEX(Reykjavík!$A$2:$K$145,MATCH("losun matvælaframleiðslu í RVK",Reykjavík!$A$2:$A$145,0),MATCH($D$4,Reykjavík!$A$3:$K$3,0))</f>
        <v>11830.988545129681</v>
      </c>
      <c r="F36" s="411"/>
    </row>
    <row r="37" spans="2:6" ht="14.5" x14ac:dyDescent="0.7">
      <c r="B37" s="414" t="s">
        <v>44</v>
      </c>
      <c r="C37" s="728">
        <f>C30+C21+C16+C11+C33</f>
        <v>596770.59800662799</v>
      </c>
      <c r="D37" s="728">
        <f>SUM(D11:D35)</f>
        <v>479810.66379818157</v>
      </c>
      <c r="E37" s="728">
        <f>SUM(E11:E35)</f>
        <v>23463.731116357594</v>
      </c>
      <c r="F37" s="728">
        <f>SUM(F11:F35)</f>
        <v>95296.689850771611</v>
      </c>
    </row>
    <row r="38" spans="2:6" x14ac:dyDescent="0.6">
      <c r="B38" s="731" t="s">
        <v>69</v>
      </c>
      <c r="C38" s="729">
        <f>Reykjavík!M169</f>
        <v>4.4436298232782914</v>
      </c>
      <c r="D38" s="729">
        <f>Reykjavík!M170</f>
        <v>3.559324614212414</v>
      </c>
      <c r="E38" s="730">
        <f>Reykjavík!M171</f>
        <v>0.17471392810285777</v>
      </c>
      <c r="F38" s="730">
        <f>Reykjavík!M172</f>
        <v>0.7095912809630196</v>
      </c>
    </row>
    <row r="40" spans="2:6" x14ac:dyDescent="0.6">
      <c r="B40" s="406" t="s">
        <v>73</v>
      </c>
      <c r="C40" s="411">
        <f>C12+C14+C17+C18+C20+C23+C25+C27+C28+C29+C15-C13</f>
        <v>419169.78825750481</v>
      </c>
      <c r="D40" s="411">
        <f>D11+D16+D21</f>
        <v>391278.59571779962</v>
      </c>
      <c r="E40" s="411">
        <f>E11</f>
        <v>23463.731116357594</v>
      </c>
      <c r="F40" s="411">
        <f>F21</f>
        <v>6227.948182030409</v>
      </c>
    </row>
    <row r="41" spans="2:6" x14ac:dyDescent="0.6">
      <c r="B41" s="406" t="s">
        <v>1036</v>
      </c>
      <c r="C41" s="411">
        <f>C40+C31+C32+C34+C13</f>
        <v>507982.42034149828</v>
      </c>
      <c r="D41" s="411">
        <f>D40+D30+D33</f>
        <v>479810.66379818157</v>
      </c>
      <c r="E41" s="411">
        <f>E40</f>
        <v>23463.731116357594</v>
      </c>
      <c r="F41" s="411">
        <f>F40+F11</f>
        <v>6508.5121856419173</v>
      </c>
    </row>
    <row r="42" spans="2:6" x14ac:dyDescent="0.6">
      <c r="B42" s="406" t="s">
        <v>1037</v>
      </c>
      <c r="C42" s="411">
        <f>C41+C35+C36</f>
        <v>596770.59800662799</v>
      </c>
      <c r="D42" s="411">
        <f>D41</f>
        <v>479810.66379818157</v>
      </c>
      <c r="E42" s="411">
        <f>E41</f>
        <v>23463.731116357594</v>
      </c>
      <c r="F42" s="411">
        <f>F41+F33</f>
        <v>95296.689850771611</v>
      </c>
    </row>
    <row r="43" spans="2:6" x14ac:dyDescent="0.6">
      <c r="C43" s="411"/>
      <c r="D43" s="411"/>
      <c r="E43" s="411"/>
      <c r="F43" s="411"/>
    </row>
    <row r="44" spans="2:6" x14ac:dyDescent="0.6">
      <c r="F44" s="411"/>
    </row>
    <row r="45" spans="2:6" x14ac:dyDescent="0.6">
      <c r="F45" s="411"/>
    </row>
    <row r="46" spans="2:6" x14ac:dyDescent="0.6">
      <c r="F46" s="411"/>
    </row>
    <row r="47" spans="2:6" x14ac:dyDescent="0.6">
      <c r="F47" s="411"/>
    </row>
    <row r="48" spans="2:6" x14ac:dyDescent="0.6">
      <c r="F48" s="411"/>
    </row>
    <row r="49" spans="2:6" x14ac:dyDescent="0.6">
      <c r="F49" s="411"/>
    </row>
    <row r="50" spans="2:6" x14ac:dyDescent="0.6">
      <c r="F50" s="411"/>
    </row>
    <row r="51" spans="2:6" x14ac:dyDescent="0.6">
      <c r="F51" s="411"/>
    </row>
    <row r="52" spans="2:6" x14ac:dyDescent="0.6">
      <c r="F52" s="411"/>
    </row>
    <row r="53" spans="2:6" x14ac:dyDescent="0.6">
      <c r="F53" s="411"/>
    </row>
    <row r="54" spans="2:6" x14ac:dyDescent="0.6">
      <c r="F54" s="411"/>
    </row>
    <row r="55" spans="2:6" x14ac:dyDescent="0.6">
      <c r="F55" s="411"/>
    </row>
    <row r="56" spans="2:6" x14ac:dyDescent="0.6">
      <c r="F56" s="411"/>
    </row>
    <row r="57" spans="2:6" x14ac:dyDescent="0.6">
      <c r="F57" s="411"/>
    </row>
    <row r="58" spans="2:6" x14ac:dyDescent="0.6">
      <c r="F58" s="411"/>
    </row>
    <row r="59" spans="2:6" x14ac:dyDescent="0.6">
      <c r="F59" s="411"/>
    </row>
    <row r="60" spans="2:6" x14ac:dyDescent="0.6">
      <c r="F60" s="411"/>
    </row>
    <row r="64" spans="2:6" x14ac:dyDescent="0.6">
      <c r="B64" s="713" t="s">
        <v>70</v>
      </c>
      <c r="C64" s="1078" t="s">
        <v>71</v>
      </c>
      <c r="D64" s="1078"/>
    </row>
    <row r="65" spans="2:8" ht="18" x14ac:dyDescent="0.8">
      <c r="B65" s="712" t="s">
        <v>72</v>
      </c>
      <c r="C65" s="1077" t="s">
        <v>73</v>
      </c>
      <c r="D65" s="1077"/>
    </row>
    <row r="80" spans="2:8" ht="18.25" x14ac:dyDescent="0.95">
      <c r="G80" s="708">
        <f>Reykjavík!M136</f>
        <v>419169.78825750481</v>
      </c>
      <c r="H80" s="703" t="s">
        <v>74</v>
      </c>
    </row>
    <row r="81" spans="2:8" ht="18.25" x14ac:dyDescent="0.95">
      <c r="G81" s="709">
        <f>Reykjavík!M167</f>
        <v>3.1211915907720504</v>
      </c>
      <c r="H81" s="703" t="s">
        <v>75</v>
      </c>
    </row>
    <row r="88" spans="2:8" x14ac:dyDescent="0.6">
      <c r="B88" s="713" t="s">
        <v>70</v>
      </c>
      <c r="C88" s="1078" t="s">
        <v>71</v>
      </c>
      <c r="D88" s="1078"/>
    </row>
    <row r="89" spans="2:8" ht="18" x14ac:dyDescent="0.8">
      <c r="B89" s="712" t="s">
        <v>72</v>
      </c>
      <c r="C89" s="1077" t="s">
        <v>76</v>
      </c>
      <c r="D89" s="1077"/>
    </row>
    <row r="100" spans="7:8" ht="18.25" x14ac:dyDescent="0.95">
      <c r="G100" s="708">
        <f>Reykjavík!M137</f>
        <v>507982.42034149828</v>
      </c>
      <c r="H100" s="703" t="s">
        <v>74</v>
      </c>
    </row>
    <row r="101" spans="7:8" ht="18.25" x14ac:dyDescent="0.95">
      <c r="G101" s="709">
        <f>Reykjavík!M168</f>
        <v>3.782501752382748</v>
      </c>
      <c r="H101" s="703" t="s">
        <v>75</v>
      </c>
    </row>
  </sheetData>
  <sheetProtection selectLockedCells="1"/>
  <dataConsolidate/>
  <mergeCells count="4">
    <mergeCell ref="C65:D65"/>
    <mergeCell ref="C89:D89"/>
    <mergeCell ref="C88:D88"/>
    <mergeCell ref="C64:D6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DBA9BC3-4396-492B-BCE8-4CC3CCA453E9}">
          <x14:formula1>
            <xm:f>Reykjavík!$C$3:$K$3</xm:f>
          </x14:formula1>
          <xm:sqref>D4</xm:sqref>
        </x14:dataValidation>
        <x14:dataValidation type="list" allowBlank="1" showInputMessage="1" showErrorMessage="1" xr:uid="{707473D4-E65E-4868-9791-D0654D4474FD}">
          <x14:formula1>
            <xm:f>Reykjavík!$P$145:$U$145</xm:f>
          </x14:formula1>
          <xm:sqref>B65 B89</xm:sqref>
        </x14:dataValidation>
        <x14:dataValidation type="list" allowBlank="1" showInputMessage="1" showErrorMessage="1" xr:uid="{B57EE335-AE50-42EA-A469-76EFF3CBFC89}">
          <x14:formula1>
            <xm:f>OFFSET(Reykjavík!$P$145,1,MATCH($B65,Reykjavík!$P$145:$U$145,0)-1,COUNTA(OFFSET(Reykjavík!$P$145,1,MATCH($B65,Reykjavík!$P$145:$U$145,0)-1,7,1)),1)</xm:f>
          </x14:formula1>
          <xm:sqref>C65 C89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74A4-8F4B-4B23-8AE5-D33F075DEAF2}">
  <dimension ref="A1:AK241"/>
  <sheetViews>
    <sheetView showGridLines="0" topLeftCell="A18" zoomScale="80" zoomScaleNormal="80" workbookViewId="0">
      <selection activeCell="L35" sqref="L35"/>
    </sheetView>
    <sheetView showGridLines="0" workbookViewId="1"/>
  </sheetViews>
  <sheetFormatPr defaultRowHeight="13" x14ac:dyDescent="0.6"/>
  <cols>
    <col min="1" max="1" width="31.40625" customWidth="1"/>
    <col min="2" max="2" width="10.1328125" customWidth="1"/>
    <col min="3" max="3" width="12.1328125" customWidth="1"/>
    <col min="4" max="4" width="11.40625" customWidth="1"/>
    <col min="5" max="5" width="12.7265625" bestFit="1" customWidth="1"/>
    <col min="6" max="6" width="15.40625" customWidth="1"/>
    <col min="7" max="7" width="12.86328125" bestFit="1" customWidth="1"/>
    <col min="8" max="11" width="12.1328125" customWidth="1"/>
    <col min="12" max="12" width="12.7265625" bestFit="1" customWidth="1"/>
    <col min="13" max="13" width="18.7265625" customWidth="1"/>
    <col min="15" max="15" width="10.1328125" bestFit="1" customWidth="1"/>
    <col min="17" max="17" width="11.26953125" bestFit="1" customWidth="1"/>
    <col min="18" max="18" width="10.7265625" customWidth="1"/>
    <col min="20" max="20" width="11.26953125" bestFit="1" customWidth="1"/>
    <col min="21" max="21" width="12.40625" bestFit="1" customWidth="1"/>
    <col min="22" max="22" width="11.26953125" bestFit="1" customWidth="1"/>
    <col min="24" max="24" width="10.86328125" bestFit="1" customWidth="1"/>
    <col min="27" max="27" width="22.7265625" customWidth="1"/>
  </cols>
  <sheetData>
    <row r="1" spans="1:37" ht="47" x14ac:dyDescent="0.6">
      <c r="A1" s="10" t="s">
        <v>107</v>
      </c>
      <c r="B1" s="8"/>
      <c r="C1" s="9"/>
      <c r="D1" s="9"/>
      <c r="E1" s="9"/>
      <c r="F1" s="9"/>
      <c r="G1" s="9"/>
      <c r="H1" s="9"/>
      <c r="I1" s="9"/>
      <c r="J1" s="9"/>
      <c r="K1" s="9"/>
    </row>
    <row r="2" spans="1:37" ht="18.5" x14ac:dyDescent="0.9">
      <c r="A2" s="1061"/>
      <c r="B2" s="8"/>
      <c r="C2" s="9"/>
      <c r="D2" s="9"/>
      <c r="E2" s="9"/>
      <c r="F2" s="9"/>
      <c r="G2" s="9"/>
      <c r="H2" s="9"/>
      <c r="I2" s="9"/>
      <c r="J2" s="9"/>
      <c r="K2" s="9"/>
      <c r="Y2" s="955" t="s">
        <v>776</v>
      </c>
      <c r="Z2" s="954"/>
      <c r="AA2" s="954"/>
      <c r="AB2" s="954"/>
      <c r="AC2" s="954"/>
      <c r="AD2" s="954"/>
      <c r="AE2" s="954"/>
      <c r="AF2" s="954"/>
      <c r="AG2" s="954"/>
      <c r="AH2" s="954"/>
      <c r="AI2" s="954"/>
      <c r="AJ2" s="954"/>
      <c r="AK2" s="954"/>
    </row>
    <row r="3" spans="1:37" ht="21" customHeight="1" x14ac:dyDescent="0.6">
      <c r="A3" s="6" t="s">
        <v>108</v>
      </c>
      <c r="B3" s="4" t="s">
        <v>2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</row>
    <row r="4" spans="1:37" ht="21" customHeight="1" x14ac:dyDescent="0.75">
      <c r="A4" s="11" t="s">
        <v>109</v>
      </c>
      <c r="B4" s="7"/>
      <c r="C4" s="56">
        <v>118798</v>
      </c>
      <c r="D4" s="56">
        <v>119266</v>
      </c>
      <c r="E4" s="56">
        <v>120513</v>
      </c>
      <c r="F4" s="56">
        <v>123141</v>
      </c>
      <c r="G4" s="56">
        <v>125360</v>
      </c>
      <c r="H4" s="56">
        <v>126549</v>
      </c>
      <c r="I4" s="1062">
        <v>128610</v>
      </c>
      <c r="J4" s="1062">
        <v>130638</v>
      </c>
      <c r="K4" s="1062">
        <v>134298</v>
      </c>
      <c r="L4" s="26">
        <v>136894</v>
      </c>
      <c r="M4" t="s">
        <v>110</v>
      </c>
      <c r="P4">
        <v>2015</v>
      </c>
      <c r="Q4">
        <v>2016</v>
      </c>
      <c r="R4">
        <v>2017</v>
      </c>
      <c r="S4">
        <v>2018</v>
      </c>
      <c r="T4">
        <v>2019</v>
      </c>
      <c r="U4">
        <v>2020</v>
      </c>
      <c r="V4">
        <v>2021</v>
      </c>
      <c r="W4">
        <v>2022</v>
      </c>
      <c r="Y4" s="954"/>
      <c r="Z4" s="954"/>
      <c r="AA4" s="956" t="s">
        <v>777</v>
      </c>
      <c r="AB4" s="956" t="s">
        <v>739</v>
      </c>
      <c r="AC4" s="956" t="s">
        <v>598</v>
      </c>
      <c r="AD4" s="956" t="s">
        <v>597</v>
      </c>
      <c r="AE4" s="956" t="s">
        <v>596</v>
      </c>
      <c r="AF4" s="956" t="s">
        <v>595</v>
      </c>
      <c r="AG4" s="956" t="s">
        <v>594</v>
      </c>
      <c r="AH4" s="956" t="s">
        <v>593</v>
      </c>
      <c r="AI4" s="956" t="s">
        <v>740</v>
      </c>
      <c r="AJ4" s="956" t="s">
        <v>741</v>
      </c>
      <c r="AK4" s="956" t="s">
        <v>778</v>
      </c>
    </row>
    <row r="5" spans="1:37" ht="21" customHeight="1" x14ac:dyDescent="0.75">
      <c r="A5" s="13" t="s">
        <v>111</v>
      </c>
      <c r="B5" s="7"/>
      <c r="C5" s="56">
        <v>206483</v>
      </c>
      <c r="D5" s="56">
        <v>208598</v>
      </c>
      <c r="E5" s="56">
        <v>212410</v>
      </c>
      <c r="F5" s="56">
        <v>217810</v>
      </c>
      <c r="G5" s="56">
        <v>222748</v>
      </c>
      <c r="H5" s="56">
        <v>225936</v>
      </c>
      <c r="I5" s="1062">
        <v>229412</v>
      </c>
      <c r="J5" s="1062">
        <v>233129</v>
      </c>
      <c r="K5" s="1062">
        <v>239014</v>
      </c>
      <c r="L5" s="26">
        <v>243908</v>
      </c>
      <c r="O5" t="s">
        <v>112</v>
      </c>
      <c r="P5" s="32">
        <v>121822</v>
      </c>
      <c r="Q5" s="32">
        <v>122460</v>
      </c>
      <c r="R5" s="32">
        <v>123246</v>
      </c>
      <c r="S5" s="32">
        <v>126041</v>
      </c>
      <c r="T5" s="32">
        <v>128793</v>
      </c>
      <c r="U5" s="32">
        <v>131136</v>
      </c>
      <c r="V5" s="32">
        <v>133262</v>
      </c>
      <c r="W5" s="32">
        <v>135688</v>
      </c>
      <c r="X5" s="32"/>
      <c r="Y5" s="954"/>
      <c r="Z5" s="954"/>
      <c r="AA5" s="956"/>
      <c r="AB5" s="956"/>
      <c r="AC5" s="956"/>
      <c r="AD5" s="956"/>
      <c r="AE5" s="956"/>
      <c r="AF5" s="956"/>
      <c r="AG5" s="956"/>
      <c r="AH5" s="956"/>
      <c r="AI5" s="956"/>
      <c r="AJ5" s="956"/>
      <c r="AK5" s="956"/>
    </row>
    <row r="6" spans="1:37" ht="21" customHeight="1" x14ac:dyDescent="0.75">
      <c r="A6" s="11" t="s">
        <v>113</v>
      </c>
      <c r="B6" s="7"/>
      <c r="C6" s="1063">
        <f t="shared" ref="C6" si="0">C4/C5</f>
        <v>0.57534034278851043</v>
      </c>
      <c r="D6" s="1063">
        <f t="shared" ref="D6:K6" si="1">D4/D5</f>
        <v>0.57175044823056786</v>
      </c>
      <c r="E6" s="1063">
        <f t="shared" si="1"/>
        <v>0.56736029377147967</v>
      </c>
      <c r="F6" s="1063">
        <f t="shared" si="1"/>
        <v>0.56535971718470224</v>
      </c>
      <c r="G6" s="1063">
        <f t="shared" si="1"/>
        <v>0.56278844254493865</v>
      </c>
      <c r="H6" s="1064">
        <f t="shared" si="1"/>
        <v>0.56010994263862335</v>
      </c>
      <c r="I6" s="1064">
        <f t="shared" si="1"/>
        <v>0.56060711732603352</v>
      </c>
      <c r="J6" s="1064">
        <f t="shared" si="1"/>
        <v>0.56036786500178015</v>
      </c>
      <c r="K6" s="1064">
        <f t="shared" si="1"/>
        <v>0.56188340431941231</v>
      </c>
      <c r="M6" s="41"/>
      <c r="O6" t="s">
        <v>114</v>
      </c>
      <c r="P6" s="32">
        <v>33205</v>
      </c>
      <c r="Q6" s="32">
        <v>34140</v>
      </c>
      <c r="R6" s="32">
        <v>35246</v>
      </c>
      <c r="S6" s="32">
        <v>35970</v>
      </c>
      <c r="T6" s="32">
        <v>36975</v>
      </c>
      <c r="U6" s="32">
        <v>37959</v>
      </c>
      <c r="V6" s="32">
        <v>38332</v>
      </c>
      <c r="W6" s="32">
        <v>38998</v>
      </c>
      <c r="Y6" s="956" t="s">
        <v>112</v>
      </c>
      <c r="Z6" s="956"/>
      <c r="AA6" s="921">
        <v>118192</v>
      </c>
      <c r="AB6" s="921">
        <v>118789</v>
      </c>
      <c r="AC6" s="921">
        <v>119266</v>
      </c>
      <c r="AD6" s="921">
        <v>120513</v>
      </c>
      <c r="AE6" s="921">
        <v>123141</v>
      </c>
      <c r="AF6" s="921">
        <v>125360</v>
      </c>
      <c r="AG6" s="921">
        <v>126549</v>
      </c>
      <c r="AH6" s="921">
        <v>128610</v>
      </c>
      <c r="AI6" s="921">
        <v>130638</v>
      </c>
      <c r="AJ6" s="921">
        <v>134298</v>
      </c>
      <c r="AK6" s="921">
        <v>136894</v>
      </c>
    </row>
    <row r="7" spans="1:37" ht="21" customHeight="1" x14ac:dyDescent="0.75">
      <c r="A7" s="11" t="s">
        <v>115</v>
      </c>
      <c r="B7" s="7"/>
      <c r="C7" s="56">
        <v>323024</v>
      </c>
      <c r="D7" s="56">
        <v>326036</v>
      </c>
      <c r="E7" s="56">
        <v>332507</v>
      </c>
      <c r="F7" s="56">
        <v>342183</v>
      </c>
      <c r="G7" s="56">
        <v>349468</v>
      </c>
      <c r="H7" s="56">
        <v>354042</v>
      </c>
      <c r="I7" s="1062">
        <v>358298</v>
      </c>
      <c r="J7" s="1062">
        <v>364917</v>
      </c>
      <c r="K7" s="1062">
        <v>375218</v>
      </c>
      <c r="L7" s="26">
        <v>383726</v>
      </c>
      <c r="O7" t="s">
        <v>116</v>
      </c>
      <c r="P7" s="32">
        <v>4411</v>
      </c>
      <c r="Q7" s="32">
        <v>4415</v>
      </c>
      <c r="R7" s="32">
        <v>4450</v>
      </c>
      <c r="S7" s="32">
        <v>4575</v>
      </c>
      <c r="T7" s="32">
        <v>4664</v>
      </c>
      <c r="U7" s="32">
        <v>4726</v>
      </c>
      <c r="V7" s="32">
        <v>4715</v>
      </c>
      <c r="W7" s="32">
        <v>4720</v>
      </c>
      <c r="Y7" s="956" t="s">
        <v>114</v>
      </c>
      <c r="Z7" s="956"/>
      <c r="AA7" s="921">
        <v>31766</v>
      </c>
      <c r="AB7" s="921">
        <v>32621</v>
      </c>
      <c r="AC7" s="921">
        <v>33537</v>
      </c>
      <c r="AD7" s="921">
        <v>34661</v>
      </c>
      <c r="AE7" s="921">
        <v>35369</v>
      </c>
      <c r="AF7" s="921">
        <v>36295</v>
      </c>
      <c r="AG7" s="921">
        <v>37036</v>
      </c>
      <c r="AH7" s="921">
        <v>37500</v>
      </c>
      <c r="AI7" s="921">
        <v>38056</v>
      </c>
      <c r="AJ7" s="921">
        <v>38770</v>
      </c>
      <c r="AK7" s="921">
        <v>39335</v>
      </c>
    </row>
    <row r="8" spans="1:37" ht="21" customHeight="1" x14ac:dyDescent="0.75">
      <c r="A8" s="11" t="s">
        <v>117</v>
      </c>
      <c r="B8" s="7"/>
      <c r="C8" s="1063">
        <f t="shared" ref="C8:H8" si="2">C5/C7</f>
        <v>0.63921875773936299</v>
      </c>
      <c r="D8" s="1063">
        <f t="shared" si="2"/>
        <v>0.63980051282680439</v>
      </c>
      <c r="E8" s="1063">
        <f t="shared" si="2"/>
        <v>0.63881361896140532</v>
      </c>
      <c r="F8" s="1063">
        <f t="shared" si="2"/>
        <v>0.6365307452445037</v>
      </c>
      <c r="G8" s="1063">
        <f t="shared" si="2"/>
        <v>0.63739169251548067</v>
      </c>
      <c r="H8" s="1064">
        <f t="shared" si="2"/>
        <v>0.63816157405053642</v>
      </c>
      <c r="I8" s="1064">
        <f t="shared" ref="I8" si="3">I5/I7</f>
        <v>0.64028266973301551</v>
      </c>
      <c r="J8" s="1064">
        <f>J5/J7</f>
        <v>0.63885486288662896</v>
      </c>
      <c r="K8" s="1064">
        <f>K5/K7</f>
        <v>0.63700035712572423</v>
      </c>
      <c r="O8" t="s">
        <v>118</v>
      </c>
      <c r="P8" s="32">
        <v>14453</v>
      </c>
      <c r="Q8" s="32">
        <v>14717</v>
      </c>
      <c r="R8" s="32">
        <v>15230</v>
      </c>
      <c r="S8" s="32">
        <v>15709</v>
      </c>
      <c r="T8" s="32">
        <v>16299</v>
      </c>
      <c r="U8" s="32">
        <v>16924</v>
      </c>
      <c r="V8" s="32">
        <v>17693</v>
      </c>
      <c r="W8" s="32">
        <v>18445</v>
      </c>
      <c r="Y8" s="956" t="s">
        <v>116</v>
      </c>
      <c r="Z8" s="956"/>
      <c r="AA8" s="921">
        <v>4294</v>
      </c>
      <c r="AB8" s="921">
        <v>4308</v>
      </c>
      <c r="AC8" s="921">
        <v>4319</v>
      </c>
      <c r="AD8" s="921">
        <v>4364</v>
      </c>
      <c r="AE8" s="921">
        <v>4486</v>
      </c>
      <c r="AF8" s="921">
        <v>4565</v>
      </c>
      <c r="AG8" s="921">
        <v>4593</v>
      </c>
      <c r="AH8" s="921">
        <v>4590</v>
      </c>
      <c r="AI8" s="921">
        <v>4573</v>
      </c>
      <c r="AJ8" s="921">
        <v>4540</v>
      </c>
      <c r="AK8" s="921">
        <v>4572</v>
      </c>
    </row>
    <row r="9" spans="1:37" ht="21" customHeight="1" x14ac:dyDescent="0.75">
      <c r="A9" s="37" t="s">
        <v>113</v>
      </c>
      <c r="B9" s="23"/>
      <c r="C9" s="1063">
        <f t="shared" ref="C9:H9" si="4">C4/C7</f>
        <v>0.36776833919461094</v>
      </c>
      <c r="D9" s="1063">
        <f t="shared" si="4"/>
        <v>0.36580622998687262</v>
      </c>
      <c r="E9" s="1063">
        <f t="shared" si="4"/>
        <v>0.36243748251916502</v>
      </c>
      <c r="F9" s="1063">
        <f t="shared" si="4"/>
        <v>0.35986884211080034</v>
      </c>
      <c r="G9" s="1063">
        <f t="shared" si="4"/>
        <v>0.35871667792186979</v>
      </c>
      <c r="H9" s="1064">
        <f t="shared" si="4"/>
        <v>0.35744064263561948</v>
      </c>
      <c r="I9" s="1064">
        <f t="shared" ref="I9" si="5">I4/I7</f>
        <v>0.3589470217528426</v>
      </c>
      <c r="J9" s="1064">
        <f>J4/J7</f>
        <v>0.35799373556178526</v>
      </c>
      <c r="K9" s="1064">
        <f>K4/K7</f>
        <v>0.35791992921448329</v>
      </c>
      <c r="M9" s="717">
        <f>K4*3.54</f>
        <v>475414.92</v>
      </c>
      <c r="O9" t="s">
        <v>119</v>
      </c>
      <c r="P9" s="32">
        <v>27875</v>
      </c>
      <c r="Q9" s="32">
        <v>28189</v>
      </c>
      <c r="R9" s="32">
        <v>28703</v>
      </c>
      <c r="S9" s="32">
        <v>29412</v>
      </c>
      <c r="T9" s="32">
        <v>29799</v>
      </c>
      <c r="U9" s="32">
        <v>29971</v>
      </c>
      <c r="V9" s="32">
        <v>29687</v>
      </c>
      <c r="W9" s="32">
        <v>29763</v>
      </c>
      <c r="Y9" s="956" t="s">
        <v>118</v>
      </c>
      <c r="Z9" s="956"/>
      <c r="AA9" s="921">
        <v>13904</v>
      </c>
      <c r="AB9" s="921">
        <v>14213</v>
      </c>
      <c r="AC9" s="921">
        <v>14442</v>
      </c>
      <c r="AD9" s="921">
        <v>14965</v>
      </c>
      <c r="AE9" s="921">
        <v>15449</v>
      </c>
      <c r="AF9" s="921">
        <v>16015</v>
      </c>
      <c r="AG9" s="921">
        <v>16624</v>
      </c>
      <c r="AH9" s="921">
        <v>17353</v>
      </c>
      <c r="AI9" s="921">
        <v>18047</v>
      </c>
      <c r="AJ9" s="921">
        <v>18509</v>
      </c>
      <c r="AK9" s="921">
        <v>19088</v>
      </c>
    </row>
    <row r="10" spans="1:37" ht="21" customHeight="1" x14ac:dyDescent="0.75">
      <c r="A10" s="56"/>
      <c r="B10" s="56"/>
      <c r="C10" s="56"/>
      <c r="D10" s="56"/>
      <c r="E10" s="56"/>
      <c r="F10" s="56"/>
      <c r="G10" s="56"/>
      <c r="H10" s="28"/>
      <c r="I10" s="28"/>
      <c r="J10" s="28"/>
      <c r="K10" s="28"/>
      <c r="M10" s="717">
        <f>K4*3.8</f>
        <v>510332.39999999997</v>
      </c>
      <c r="N10" s="33"/>
      <c r="O10" t="s">
        <v>120</v>
      </c>
      <c r="P10" s="32">
        <v>9300</v>
      </c>
      <c r="Q10" s="32">
        <v>9481</v>
      </c>
      <c r="R10" s="32">
        <v>9783</v>
      </c>
      <c r="S10" s="32">
        <v>10556</v>
      </c>
      <c r="T10" s="32">
        <v>11463</v>
      </c>
      <c r="U10" s="32">
        <v>12073</v>
      </c>
      <c r="V10" s="32">
        <v>12589</v>
      </c>
      <c r="W10" s="32">
        <v>13024</v>
      </c>
      <c r="Y10" s="956" t="s">
        <v>119</v>
      </c>
      <c r="Z10" s="956"/>
      <c r="AA10" s="921">
        <v>26891</v>
      </c>
      <c r="AB10" s="921">
        <v>27393</v>
      </c>
      <c r="AC10" s="921">
        <v>27696</v>
      </c>
      <c r="AD10" s="921">
        <v>28270</v>
      </c>
      <c r="AE10" s="921">
        <v>28965</v>
      </c>
      <c r="AF10" s="921">
        <v>29227</v>
      </c>
      <c r="AG10" s="921">
        <v>29266</v>
      </c>
      <c r="AH10" s="921">
        <v>29018</v>
      </c>
      <c r="AI10" s="921">
        <v>29047</v>
      </c>
      <c r="AJ10" s="921">
        <v>29806</v>
      </c>
      <c r="AK10" s="921">
        <v>30616</v>
      </c>
    </row>
    <row r="11" spans="1:37" ht="21" customHeight="1" x14ac:dyDescent="0.75">
      <c r="A11" s="56"/>
      <c r="B11" s="56"/>
      <c r="C11" s="56"/>
      <c r="D11" s="56"/>
      <c r="E11" s="56"/>
      <c r="F11" s="56"/>
      <c r="G11" s="56"/>
      <c r="H11" s="28"/>
      <c r="I11" s="28"/>
      <c r="J11" s="28"/>
      <c r="K11" s="28"/>
      <c r="N11" s="33"/>
      <c r="O11" t="s">
        <v>121</v>
      </c>
      <c r="P11" s="32">
        <f>SUM(P5:P10)</f>
        <v>211066</v>
      </c>
      <c r="Q11" s="32">
        <f t="shared" ref="Q11:U11" si="6">SUM(Q5:Q10)</f>
        <v>213402</v>
      </c>
      <c r="R11" s="32">
        <f t="shared" si="6"/>
        <v>216658</v>
      </c>
      <c r="S11" s="32">
        <f t="shared" si="6"/>
        <v>222263</v>
      </c>
      <c r="T11" s="32">
        <f t="shared" si="6"/>
        <v>227993</v>
      </c>
      <c r="U11" s="32">
        <f t="shared" si="6"/>
        <v>232789</v>
      </c>
      <c r="V11" s="32">
        <f>SUM(V5:V10)</f>
        <v>236278</v>
      </c>
      <c r="W11" s="32">
        <f>SUM(W5:W10)</f>
        <v>240638</v>
      </c>
      <c r="Y11" s="956" t="s">
        <v>120</v>
      </c>
      <c r="Z11" s="956"/>
      <c r="AA11" s="921">
        <v>8955</v>
      </c>
      <c r="AB11" s="921">
        <v>9159</v>
      </c>
      <c r="AC11" s="921">
        <v>9338</v>
      </c>
      <c r="AD11" s="921">
        <v>9637</v>
      </c>
      <c r="AE11" s="921">
        <v>10400</v>
      </c>
      <c r="AF11" s="921">
        <v>11286</v>
      </c>
      <c r="AG11" s="921">
        <v>11868</v>
      </c>
      <c r="AH11" s="921">
        <v>12341</v>
      </c>
      <c r="AI11" s="921">
        <v>12768</v>
      </c>
      <c r="AJ11" s="921">
        <v>13091</v>
      </c>
      <c r="AK11" s="921">
        <v>13403</v>
      </c>
    </row>
    <row r="12" spans="1:37" ht="21" customHeight="1" x14ac:dyDescent="0.75">
      <c r="A12" s="6" t="s">
        <v>1</v>
      </c>
      <c r="B12" s="4" t="s">
        <v>2</v>
      </c>
      <c r="C12" s="5">
        <v>2015</v>
      </c>
      <c r="D12" s="5">
        <v>2016</v>
      </c>
      <c r="E12" s="5">
        <v>2017</v>
      </c>
      <c r="F12" s="5">
        <v>2018</v>
      </c>
      <c r="G12" s="5">
        <v>2019</v>
      </c>
      <c r="H12" s="5">
        <v>2020</v>
      </c>
      <c r="I12" s="5">
        <v>2021</v>
      </c>
      <c r="J12" s="5">
        <v>2022</v>
      </c>
      <c r="K12" s="5"/>
      <c r="O12" t="s">
        <v>122</v>
      </c>
      <c r="P12" s="32">
        <v>329100</v>
      </c>
      <c r="Q12" s="32">
        <v>332529</v>
      </c>
      <c r="R12" s="32">
        <v>338349</v>
      </c>
      <c r="S12" s="32">
        <v>348450</v>
      </c>
      <c r="T12" s="32">
        <v>356991</v>
      </c>
      <c r="U12" s="32">
        <v>364134</v>
      </c>
      <c r="V12" s="32">
        <v>368792</v>
      </c>
      <c r="W12" s="32">
        <v>376248</v>
      </c>
      <c r="Y12" s="956" t="s">
        <v>121</v>
      </c>
      <c r="Z12" s="956"/>
      <c r="AA12" s="921">
        <f t="shared" ref="AA12:AK12" si="7">SUM(AA6:AA11)</f>
        <v>204002</v>
      </c>
      <c r="AB12" s="921">
        <f t="shared" si="7"/>
        <v>206483</v>
      </c>
      <c r="AC12" s="921">
        <f t="shared" si="7"/>
        <v>208598</v>
      </c>
      <c r="AD12" s="921">
        <f t="shared" si="7"/>
        <v>212410</v>
      </c>
      <c r="AE12" s="921">
        <f t="shared" si="7"/>
        <v>217810</v>
      </c>
      <c r="AF12" s="921">
        <f t="shared" si="7"/>
        <v>222748</v>
      </c>
      <c r="AG12" s="921">
        <f t="shared" si="7"/>
        <v>225936</v>
      </c>
      <c r="AH12" s="921">
        <f t="shared" si="7"/>
        <v>229412</v>
      </c>
      <c r="AI12" s="921">
        <f t="shared" si="7"/>
        <v>233129</v>
      </c>
      <c r="AJ12" s="921">
        <f t="shared" si="7"/>
        <v>239014</v>
      </c>
      <c r="AK12" s="921">
        <f t="shared" si="7"/>
        <v>243908</v>
      </c>
    </row>
    <row r="13" spans="1:37" ht="21" customHeight="1" x14ac:dyDescent="0.75">
      <c r="A13" s="11" t="s">
        <v>3</v>
      </c>
      <c r="B13" s="7" t="s">
        <v>4</v>
      </c>
      <c r="C13" s="56">
        <f t="shared" ref="C13:K13" si="8">SUM(C14:C17)</f>
        <v>4734390</v>
      </c>
      <c r="D13" s="56">
        <f t="shared" si="8"/>
        <v>4687420</v>
      </c>
      <c r="E13" s="56">
        <f t="shared" si="8"/>
        <v>4769130</v>
      </c>
      <c r="F13" s="56">
        <f t="shared" si="8"/>
        <v>4828420</v>
      </c>
      <c r="G13" s="56">
        <f t="shared" si="8"/>
        <v>4688990</v>
      </c>
      <c r="H13" s="1062">
        <f t="shared" si="8"/>
        <v>4495460</v>
      </c>
      <c r="I13" s="1062">
        <f t="shared" si="8"/>
        <v>4631394</v>
      </c>
      <c r="J13" s="1062">
        <f t="shared" si="8"/>
        <v>4666000</v>
      </c>
      <c r="K13" s="1062">
        <f t="shared" si="8"/>
        <v>0</v>
      </c>
      <c r="M13" s="727" t="s">
        <v>5</v>
      </c>
      <c r="O13" s="33"/>
      <c r="P13" s="33"/>
      <c r="Q13" s="33"/>
      <c r="R13" s="33"/>
      <c r="S13" s="33"/>
      <c r="Y13" s="956" t="s">
        <v>122</v>
      </c>
      <c r="Z13" s="956"/>
      <c r="AA13" s="921">
        <v>319718</v>
      </c>
      <c r="AB13" s="921">
        <v>323024</v>
      </c>
      <c r="AC13" s="921">
        <v>326036</v>
      </c>
      <c r="AD13" s="921">
        <v>332507</v>
      </c>
      <c r="AE13" s="921">
        <v>342183</v>
      </c>
      <c r="AF13" s="921">
        <v>349468</v>
      </c>
      <c r="AG13" s="921">
        <v>354042</v>
      </c>
      <c r="AH13" s="921">
        <v>358298</v>
      </c>
      <c r="AI13" s="921">
        <v>364917</v>
      </c>
      <c r="AJ13" s="921">
        <v>375218</v>
      </c>
      <c r="AK13" s="921">
        <v>383726</v>
      </c>
    </row>
    <row r="14" spans="1:37" ht="21" customHeight="1" x14ac:dyDescent="0.65">
      <c r="A14" s="13" t="s">
        <v>6</v>
      </c>
      <c r="B14" s="7" t="s">
        <v>4</v>
      </c>
      <c r="C14" s="56">
        <v>1853750</v>
      </c>
      <c r="D14" s="56">
        <v>1829010</v>
      </c>
      <c r="E14" s="56">
        <v>1870240</v>
      </c>
      <c r="F14" s="56">
        <v>1911170</v>
      </c>
      <c r="G14" s="56">
        <v>1853990</v>
      </c>
      <c r="H14" s="1062">
        <v>1664620</v>
      </c>
      <c r="I14" s="1062">
        <v>1764044</v>
      </c>
      <c r="J14" s="1062">
        <v>1819340</v>
      </c>
      <c r="K14" s="1062"/>
      <c r="M14" t="s">
        <v>123</v>
      </c>
      <c r="O14" s="33"/>
      <c r="P14" s="33"/>
      <c r="Q14" s="33"/>
      <c r="R14" s="33"/>
      <c r="S14" s="33"/>
    </row>
    <row r="15" spans="1:37" ht="21" customHeight="1" x14ac:dyDescent="0.65">
      <c r="A15" s="11" t="s">
        <v>7</v>
      </c>
      <c r="B15" s="7" t="s">
        <v>4</v>
      </c>
      <c r="C15" s="56">
        <v>1965740</v>
      </c>
      <c r="D15" s="56">
        <v>1947760</v>
      </c>
      <c r="E15" s="56">
        <v>1994090</v>
      </c>
      <c r="F15" s="56">
        <v>2035230</v>
      </c>
      <c r="G15" s="56">
        <v>2002070</v>
      </c>
      <c r="H15" s="1062">
        <v>1977270</v>
      </c>
      <c r="I15" s="1062">
        <v>2011920</v>
      </c>
      <c r="J15" s="1062">
        <v>2016800</v>
      </c>
      <c r="K15" s="1062"/>
      <c r="O15" s="33"/>
      <c r="P15" s="33"/>
      <c r="Q15" s="33"/>
      <c r="R15" s="33"/>
      <c r="S15" s="33"/>
    </row>
    <row r="16" spans="1:37" ht="21" customHeight="1" x14ac:dyDescent="0.65">
      <c r="A16" s="11" t="s">
        <v>8</v>
      </c>
      <c r="B16" s="7" t="s">
        <v>4</v>
      </c>
      <c r="C16" s="56">
        <v>650330</v>
      </c>
      <c r="D16" s="56">
        <v>650240</v>
      </c>
      <c r="E16" s="56">
        <v>651080</v>
      </c>
      <c r="F16" s="56">
        <v>628300</v>
      </c>
      <c r="G16" s="56">
        <v>610910</v>
      </c>
      <c r="H16" s="27">
        <v>609480</v>
      </c>
      <c r="I16" s="27">
        <v>612750</v>
      </c>
      <c r="J16" s="27">
        <v>596260</v>
      </c>
      <c r="K16" s="27"/>
      <c r="L16" s="811"/>
      <c r="O16" s="33"/>
      <c r="P16" s="33"/>
      <c r="Q16" s="33"/>
      <c r="R16" s="33"/>
      <c r="S16" s="33"/>
    </row>
    <row r="17" spans="1:19" ht="21" customHeight="1" x14ac:dyDescent="0.6">
      <c r="A17" s="11" t="s">
        <v>9</v>
      </c>
      <c r="B17" s="7" t="s">
        <v>4</v>
      </c>
      <c r="C17" s="56">
        <v>264570</v>
      </c>
      <c r="D17" s="56">
        <v>260410</v>
      </c>
      <c r="E17" s="56">
        <v>253720</v>
      </c>
      <c r="F17" s="56">
        <v>253720</v>
      </c>
      <c r="G17" s="56">
        <v>222020</v>
      </c>
      <c r="H17" s="28">
        <v>244090</v>
      </c>
      <c r="I17" s="28">
        <v>242680</v>
      </c>
      <c r="J17" s="28">
        <v>233600</v>
      </c>
      <c r="K17" s="28"/>
    </row>
    <row r="18" spans="1:19" ht="21" customHeight="1" x14ac:dyDescent="0.6">
      <c r="A18" s="37"/>
      <c r="B18" s="23"/>
      <c r="C18" s="56"/>
      <c r="D18" s="56"/>
      <c r="E18" s="56"/>
      <c r="F18" s="56"/>
      <c r="G18" s="56"/>
      <c r="H18" s="28"/>
      <c r="I18" s="28"/>
      <c r="J18" s="28"/>
      <c r="K18" s="28"/>
    </row>
    <row r="19" spans="1:19" ht="24.75" customHeight="1" x14ac:dyDescent="0.6">
      <c r="A19" s="1049" t="s">
        <v>6</v>
      </c>
      <c r="B19" s="1050" t="s">
        <v>2</v>
      </c>
      <c r="C19" s="1051">
        <v>2015</v>
      </c>
      <c r="D19" s="1051">
        <v>2016</v>
      </c>
      <c r="E19" s="1051">
        <v>2017</v>
      </c>
      <c r="F19" s="1051">
        <v>2018</v>
      </c>
      <c r="G19" s="1051">
        <v>2019</v>
      </c>
      <c r="H19" s="1051">
        <v>2020</v>
      </c>
      <c r="I19" s="1051">
        <v>2021</v>
      </c>
      <c r="J19" s="1051">
        <v>2022</v>
      </c>
      <c r="K19" s="1051">
        <v>2023</v>
      </c>
    </row>
    <row r="20" spans="1:19" ht="15" customHeight="1" x14ac:dyDescent="0.65">
      <c r="A20" s="56" t="s">
        <v>84</v>
      </c>
      <c r="B20" s="56" t="s">
        <v>124</v>
      </c>
      <c r="C20" s="56"/>
      <c r="D20" s="56">
        <f>INDEX(Orka!$C$8:$J$12,MATCH(D$3,Orka!$C$8:$C$12,0),MATCH("Heildarorka [kwh]",Orka!$C$8:$J$8,0))</f>
        <v>983200000</v>
      </c>
      <c r="E20" s="56">
        <f>INDEX(Orka!$C$8:$J$12,MATCH(E$19,Orka!$C$8:$C$12,0),MATCH("Heildarorka [kwh]",Orka!$C$8:$J$8,0))</f>
        <v>1085400000</v>
      </c>
      <c r="F20" s="56">
        <f>INDEX(Orka!$C$14:$J$20,MATCH(F$19,Orka!$C$14:$C$20,0),MATCH("Heildarorka [kwh]",Orka!$C$8:$J$8,0))</f>
        <v>835181321.80246878</v>
      </c>
      <c r="G20" s="56">
        <f>INDEX(Orka!$C$14:$J$20,MATCH(G$19,Orka!$C$14:$C$20,0),MATCH("Heildarorka [kwh]",Orka!$C$8:$J$8,0))</f>
        <v>824597669.14894867</v>
      </c>
      <c r="H20" s="1062">
        <f>INDEX(Orka!$C$14:$J$20,MATCH(H$19,Orka!$C$14:$C$20,0),MATCH("Heildarorka [kwh]",Orka!$C$8:$J$8,0))</f>
        <v>805254377.9028424</v>
      </c>
      <c r="I20" s="1062">
        <f>IFERROR(INDEX(Orka!$C$14:$J$20,MATCH(I$19,Orka!$C$14:$C$20,0),MATCH("Heildarorka [kwh]",Orka!$C$8:$J$8,0)),820000000)</f>
        <v>811671438.76758826</v>
      </c>
      <c r="J20" s="1062">
        <f>IFERROR(INDEX(Orka!$C$14:$J$20,MATCH(J$19,Orka!$C$14:$C$20,0),MATCH("Heildarorka [kwh]",Orka!$C$8:$J$8,0)),820000000)</f>
        <v>827369479</v>
      </c>
      <c r="K20" s="1062">
        <f>IFERROR(INDEX(Orka!$C$14:$J$20,MATCH(K$19,Orka!$C$14:$C$20,0),MATCH("Heildarorka [kwh]",Orka!$C$8:$J$8,0)),820000000)</f>
        <v>829789357.89067149</v>
      </c>
      <c r="M20" t="s">
        <v>125</v>
      </c>
      <c r="N20" s="33"/>
      <c r="O20" s="33"/>
      <c r="P20" s="33"/>
      <c r="Q20" s="33"/>
      <c r="R20" s="33"/>
    </row>
    <row r="21" spans="1:19" ht="15" customHeight="1" x14ac:dyDescent="0.65">
      <c r="A21" s="56" t="s">
        <v>126</v>
      </c>
      <c r="B21" s="56" t="s">
        <v>127</v>
      </c>
      <c r="C21" s="1065">
        <v>10.4</v>
      </c>
      <c r="D21" s="1065">
        <f>INDEX(Orka!$C$8:$J$12,MATCH(D$19,Orka!$C$8:$C$12,0),MATCH("Stuðull [g CO2 íg/kwh]",Orka!$C$8:$J$8,0))</f>
        <v>8.9</v>
      </c>
      <c r="E21" s="1065">
        <f>INDEX(Orka!$C$8:$J$12,MATCH(E$19,Orka!$C$8:$C$12,0),MATCH("Stuðull [g CO2 íg/kwh]",Orka!$C$8:$J$8,0))</f>
        <v>8.1</v>
      </c>
      <c r="F21" s="1065">
        <f>INDEX(Orka!$C$14:$J$20,MATCH(F$19,Orka!$C$14:$C$20,0),MATCH("Stuðull [g CO2 íg/kwh]",Orka!$C$14:$J$14,0))</f>
        <v>7.9</v>
      </c>
      <c r="G21" s="1065">
        <f>INDEX(Orka!$C$14:$J$20,MATCH(G$19,Orka!$C$14:$C$20,0),MATCH("Stuðull [g CO2 íg/kwh]",Orka!$C$14:$J$14,0))</f>
        <v>8</v>
      </c>
      <c r="H21" s="1066">
        <f>INDEX(Orka!$C$14:$J$20,MATCH(H$19,Orka!$C$14:$C$20,0),MATCH("Stuðull [g CO2 íg/kwh]",Orka!$C$14:$J$14,0))</f>
        <v>8.3000000000000007</v>
      </c>
      <c r="I21" s="1066">
        <f>INDEX(Orka!$C$14:$J$20,MATCH(I$19,Orka!$C$14:$C$20,0),MATCH("Stuðull [g CO2 íg/kwh]",Orka!$C$14:$J$14,0))</f>
        <v>7.7</v>
      </c>
      <c r="J21" s="1066">
        <f>INDEX(Orka!$C$14:$J$20,MATCH(J$19,Orka!$C$14:$C$20,0),MATCH("Stuðull [g CO2 íg/kwh]",Orka!$C$14:$J$14,0))</f>
        <v>8</v>
      </c>
      <c r="K21" s="1066">
        <f>INDEX(Orka!$C$14:$J$20,MATCH(K$19,Orka!$C$14:$C$20,0),MATCH("Stuðull [g CO2 íg/kwh]",Orka!$C$14:$J$14,0))</f>
        <v>7.6</v>
      </c>
      <c r="N21" s="33"/>
      <c r="O21" s="33"/>
      <c r="P21" s="33"/>
      <c r="Q21" s="33"/>
      <c r="R21" s="33"/>
    </row>
    <row r="22" spans="1:19" ht="15" customHeight="1" x14ac:dyDescent="0.65">
      <c r="A22" s="1067" t="s">
        <v>128</v>
      </c>
      <c r="B22" s="57" t="s">
        <v>4</v>
      </c>
      <c r="C22" s="1065"/>
      <c r="D22" s="56">
        <f>INDEX(Orka!$C$8:$J$12,MATCH(D$19,Orka!$C$8:$C$12,0),MATCH("Losun [tCO2 íg]",Orka!$C$8:$J$8,0))</f>
        <v>8750.48</v>
      </c>
      <c r="E22" s="56">
        <f>INDEX(Orka!$C$8:$J$12,MATCH(E$19,Orka!$C$8:$C$12,0),MATCH("Losun [tCO2 íg]",Orka!$C$8:$J$8,0))</f>
        <v>8791.74</v>
      </c>
      <c r="F22" s="56">
        <f>INDEX(Orka!$C$14:$J$20,MATCH(F$19,Orka!$C$14:$C$20,0),MATCH("Losun [tCO2 íg]",Orka!$C$14:$J$14,0))</f>
        <v>6597.9324422395039</v>
      </c>
      <c r="G22" s="56">
        <f>INDEX(Orka!$C$14:$J$20,MATCH(G$19,Orka!$C$14:$C$20,0),MATCH("Losun [tCO2 íg]",Orka!$C$14:$J$14,0))</f>
        <v>6596.781353191589</v>
      </c>
      <c r="H22" s="1068">
        <f>INDEX(Orka!$C$14:$J$20,MATCH(H$19,Orka!$C$14:$C$20,0),MATCH("Losun [tCO2 íg]",Orka!$C$14:$J$14,0))</f>
        <v>6683.6113365935926</v>
      </c>
      <c r="I22" s="1068">
        <f>INDEX(Orka!$C$14:$J$20,MATCH(I$19,Orka!$C$14:$C$20,0),MATCH("Losun [tCO2 íg]",Orka!$C$14:$J$14,0))</f>
        <v>6249.8700785104293</v>
      </c>
      <c r="J22" s="1068">
        <f>INDEX(Orka!$C$14:$J$20,MATCH(J$19,Orka!$C$14:$C$20,0),MATCH("Losun [tCO2 íg]",Orka!$C$14:$J$14,0))</f>
        <v>6618.9558319999996</v>
      </c>
      <c r="K22" s="1068">
        <f>INDEX(Orka!$C$14:$J$20,MATCH(K$19,Orka!$C$14:$C$20,0),MATCH("Losun [tCO2 íg]",Orka!$C$14:$J$14,0))</f>
        <v>6306.3991199691027</v>
      </c>
      <c r="N22" s="33"/>
      <c r="O22" s="33"/>
      <c r="P22" s="33"/>
      <c r="Q22" s="33"/>
      <c r="R22" s="33"/>
    </row>
    <row r="23" spans="1:19" ht="15" customHeight="1" x14ac:dyDescent="0.65">
      <c r="A23" s="1067" t="s">
        <v>1035</v>
      </c>
      <c r="B23" s="57" t="s">
        <v>4</v>
      </c>
      <c r="C23" s="1065"/>
      <c r="D23" s="56"/>
      <c r="E23" s="56"/>
      <c r="F23" s="56">
        <f>Orka!L20</f>
        <v>241.92783673950339</v>
      </c>
      <c r="G23" s="56">
        <f>Orka!L19</f>
        <v>224.03085719158972</v>
      </c>
      <c r="H23" s="1068">
        <f>Orka!L18</f>
        <v>293.42737599359168</v>
      </c>
      <c r="I23" s="1068">
        <f>Orka!L17</f>
        <v>274.38504202023893</v>
      </c>
      <c r="J23" s="1068">
        <f>Orka!L16</f>
        <v>290.58884</v>
      </c>
      <c r="K23" s="1068">
        <f>Orka!L15</f>
        <v>280.56400361150844</v>
      </c>
      <c r="N23" s="33"/>
      <c r="O23" s="33"/>
      <c r="P23" s="33"/>
      <c r="Q23" s="33"/>
      <c r="R23" s="33"/>
    </row>
    <row r="24" spans="1:19" ht="15" customHeight="1" x14ac:dyDescent="0.65">
      <c r="A24" s="56" t="s">
        <v>129</v>
      </c>
      <c r="B24" s="57" t="s">
        <v>130</v>
      </c>
      <c r="C24" s="1065"/>
      <c r="D24" s="1065">
        <f>INDEX(Orka!$C$26:$J$36,MATCH(D$19,Orka!$C$26:$C$36,0),MATCH("Vatnsvinnsla hitaveitu í RVK [GL]",Orka!$C$26:$J$26,0))</f>
        <v>69.45</v>
      </c>
      <c r="E24" s="1065">
        <f>INDEX(Orka!$C$26:$J$36,MATCH(E$19,Orka!$C$26:$C$36,0),MATCH("Vatnsvinnsla hitaveitu í RVK [GL]",Orka!$C$26:$J$26,0))</f>
        <v>72.64</v>
      </c>
      <c r="F24" s="1065">
        <f>INDEX(Orka!$C$26:$J$36,MATCH(F$19,Orka!$C$26:$C$36,0),MATCH("Vatnsvinnsla hitaveitu í RVK [GL]",Orka!$C$26:$J$26,0))</f>
        <v>77.52</v>
      </c>
      <c r="G24" s="1065">
        <f>INDEX(Orka!$C$26:$J$36,MATCH(G$19,Orka!$C$26:$C$36,0),MATCH("Vatnsvinnsla hitaveitu í RVK [GL]",Orka!$C$26:$J$26,0))</f>
        <v>75.430000000000007</v>
      </c>
      <c r="H24" s="1066">
        <f>INDEX(Orka!$C$26:$J$36,MATCH(H$19,Orka!$C$26:$C$36,0),MATCH("Vatnsvinnsla hitaveitu í RVK [GL]",Orka!$C$26:$J$26,0))</f>
        <v>82.53</v>
      </c>
      <c r="I24" s="1066">
        <f>INDEX(Orka!$C$26:$J$36,MATCH(I$19,Orka!$C$26:$C$36,0),MATCH("Vatnsvinnsla hitaveitu í RVK [GL]",Orka!$C$26:$J$26,0))</f>
        <v>80.510000000000005</v>
      </c>
      <c r="J24" s="1066">
        <f>INDEX(Orka!$C$26:$J$36,MATCH(J$19,Orka!$C$26:$C$36,0),MATCH("Vatnsvinnsla hitaveitu í RVK [GL]",Orka!$C$26:$J$26,0))</f>
        <v>79.819999999999993</v>
      </c>
      <c r="K24" s="1066">
        <f>INDEX(Orka!$C$26:$J$36,MATCH(K$19,Orka!$C$26:$C$36,0),MATCH("Vatnsvinnsla hitaveitu í RVK [GL]",Orka!$C$26:$J$26,0))</f>
        <v>84.98</v>
      </c>
      <c r="L24" s="811"/>
      <c r="M24" s="726" t="s">
        <v>131</v>
      </c>
      <c r="N24" s="33"/>
      <c r="O24" s="33"/>
      <c r="P24" s="33"/>
      <c r="Q24" s="33"/>
      <c r="R24" s="33"/>
    </row>
    <row r="25" spans="1:19" ht="15" customHeight="1" x14ac:dyDescent="0.65">
      <c r="A25" s="56" t="s">
        <v>126</v>
      </c>
      <c r="B25" s="56" t="s">
        <v>132</v>
      </c>
      <c r="C25" s="1065"/>
      <c r="D25" s="56">
        <f>INDEX(Orka!$C$26:$J$36,MATCH(D$19,Orka!$C$26:$C$36,0),MATCH("Stuðull [g CO2 íg/m3]",Orka!$C$26:$J$26,0))</f>
        <v>220.4</v>
      </c>
      <c r="E25" s="56">
        <f>INDEX(Orka!$C$26:$J$36,MATCH(E$19,Orka!$C$26:$C$36,0),MATCH("Stuðull [g CO2 íg/m3]",Orka!$C$26:$J$26,0))</f>
        <v>203</v>
      </c>
      <c r="F25" s="1065">
        <f>INDEX(Orka!$C$26:$J$36,MATCH(F$19,Orka!$C$26:$C$36,0),MATCH("Stuðull [g CO2 íg/m3]",Orka!$C$26:$J$26,0))</f>
        <v>207.6</v>
      </c>
      <c r="G25" s="1065">
        <f>INDEX(Orka!$C$26:$J$36,MATCH(G$19,Orka!$C$26:$C$36,0),MATCH("Stuðull [g CO2 íg/m3]",Orka!$C$26:$J$26,0))</f>
        <v>216</v>
      </c>
      <c r="H25" s="1066">
        <f>INDEX(Orka!$C$26:$J$36,MATCH(H$19,Orka!$C$26:$C$36,0),MATCH("Stuðull [g CO2 íg/m3]",Orka!$C$26:$J$26,0))</f>
        <v>213.4</v>
      </c>
      <c r="I25" s="1066">
        <f>INDEX(Orka!$C$26:$J$36,MATCH(I$19,Orka!$C$26:$C$36,0),MATCH("Stuðull [g CO2 íg/m3]",Orka!$C$26:$J$26,0))</f>
        <v>216.2</v>
      </c>
      <c r="J25" s="1066">
        <f>INDEX(Orka!$C$26:$J$36,MATCH(J$19,Orka!$C$26:$C$36,0),MATCH("Stuðull [g CO2 íg/m3]",Orka!$C$26:$J$26,0))</f>
        <v>231.3</v>
      </c>
      <c r="K25" s="1066">
        <f>INDEX(Orka!$C$26:$J$36,MATCH(K$19,Orka!$C$26:$C$36,0),MATCH("Stuðull [g CO2 íg/m3]",Orka!$C$26:$J$26,0))</f>
        <v>205.2</v>
      </c>
      <c r="N25" s="33"/>
      <c r="O25" s="33"/>
      <c r="P25" s="33"/>
      <c r="Q25" s="33"/>
      <c r="R25" s="33"/>
    </row>
    <row r="26" spans="1:19" ht="15" customHeight="1" x14ac:dyDescent="0.65">
      <c r="A26" s="1067" t="s">
        <v>133</v>
      </c>
      <c r="B26" s="57" t="s">
        <v>4</v>
      </c>
      <c r="C26" s="56"/>
      <c r="D26" s="56">
        <f>INDEX(Orka!$C$26:$J$36,MATCH(D$19,Orka!$C$26:$C$36,0),MATCH("Losun [tCO2 íg]",Orka!$C$26:$J$26,0))</f>
        <v>15306.78</v>
      </c>
      <c r="E26" s="56">
        <f>INDEX(Orka!$C$26:$J$36,MATCH(E$19,Orka!$C$26:$C$36,0),MATCH("Losun [tCO2 íg]",Orka!$C$26:$J$26,0))</f>
        <v>14745.92</v>
      </c>
      <c r="F26" s="56">
        <f>INDEX(Orka!$C$26:$J$36,MATCH(F$19,Orka!$C$26:$C$36,0),MATCH("Losun [tCO2 íg]",Orka!$C$26:$J$26,0))</f>
        <v>16093.152</v>
      </c>
      <c r="G26" s="56">
        <f>INDEX(Orka!$C$26:$J$36,MATCH(G$19,Orka!$C$26:$C$36,0),MATCH("Losun [tCO2 íg]",Orka!$C$26:$J$26,0))</f>
        <v>16292.880000000003</v>
      </c>
      <c r="H26" s="1062">
        <f>INDEX(Orka!$C$26:$J$36,MATCH(H$19,Orka!$C$26:$C$36,0),MATCH("Losun [tCO2 íg]",Orka!$C$26:$J$26,0))</f>
        <v>17611.902000000002</v>
      </c>
      <c r="I26" s="1062">
        <f>INDEX(Orka!$C$26:$J$36,MATCH(I$19,Orka!$C$26:$C$36,0),MATCH("Losun [tCO2 íg]",Orka!$C$26:$J$26,0))</f>
        <v>17406.261999999999</v>
      </c>
      <c r="J26" s="1062">
        <f>INDEX(Orka!$C$26:$J$36,MATCH(J$19,Orka!$C$26:$C$36,0),MATCH("Losun [tCO2 íg]",Orka!$C$26:$J$26,0))</f>
        <v>18462.365999999998</v>
      </c>
      <c r="K26" s="1062">
        <f>INDEX(Orka!$C$26:$J$36,MATCH(K$19,Orka!$C$26:$C$36,0),MATCH("Losun [tCO2 íg]",Orka!$C$26:$J$26,0))</f>
        <v>17437.896000000001</v>
      </c>
      <c r="L26" s="811"/>
      <c r="N26" s="33"/>
      <c r="O26" s="33"/>
      <c r="P26" s="33"/>
      <c r="Q26" s="33"/>
      <c r="R26" s="33"/>
    </row>
    <row r="27" spans="1:19" ht="15" customHeight="1" x14ac:dyDescent="0.65">
      <c r="A27" s="56"/>
      <c r="B27" s="56"/>
      <c r="C27" s="56"/>
      <c r="D27" s="56"/>
      <c r="E27" s="56"/>
      <c r="F27" s="56"/>
      <c r="G27" s="56"/>
      <c r="H27" s="28"/>
      <c r="I27" s="28"/>
      <c r="J27" s="28"/>
      <c r="K27" s="28"/>
      <c r="N27" s="33"/>
      <c r="O27" s="33"/>
      <c r="P27" s="33"/>
      <c r="Q27" s="33"/>
      <c r="R27" s="33"/>
    </row>
    <row r="28" spans="1:19" ht="24.75" customHeight="1" x14ac:dyDescent="0.6">
      <c r="A28" s="1046" t="s">
        <v>88</v>
      </c>
      <c r="B28" s="1047"/>
      <c r="C28" s="1048">
        <v>2015</v>
      </c>
      <c r="D28" s="1048">
        <v>2016</v>
      </c>
      <c r="E28" s="1048">
        <v>2017</v>
      </c>
      <c r="F28" s="1048">
        <v>2018</v>
      </c>
      <c r="G28" s="1048">
        <v>2019</v>
      </c>
      <c r="H28" s="1048">
        <v>2020</v>
      </c>
      <c r="I28" s="1048">
        <v>2021</v>
      </c>
      <c r="J28" s="1048">
        <v>2022</v>
      </c>
      <c r="K28" s="1048">
        <v>2023</v>
      </c>
    </row>
    <row r="29" spans="1:19" ht="15" customHeight="1" x14ac:dyDescent="0.65">
      <c r="A29" s="56" t="s">
        <v>134</v>
      </c>
      <c r="B29" s="56" t="s">
        <v>135</v>
      </c>
      <c r="C29" s="56">
        <f>_xlfn.XLOOKUP(Reykjavík!C28,Götuumferð!$O$18:$O$29,Götuumferð!$AB$18:$AB$29,0,0,1)</f>
        <v>922.86404358873665</v>
      </c>
      <c r="D29" s="56">
        <f>_xlfn.XLOOKUP(Reykjavík!D28,Götuumferð!$O$18:$O$29,Götuumferð!$AB$18:$AB$29,0,0,1)</f>
        <v>989.35440532397354</v>
      </c>
      <c r="E29" s="56">
        <f>_xlfn.XLOOKUP(Reykjavík!E28,Götuumferð!$O$18:$O$29,Götuumferð!$AB$18:$AB$29,0,0,1)</f>
        <v>1068.5297575278464</v>
      </c>
      <c r="F29" s="56">
        <f>_xlfn.XLOOKUP(Reykjavík!F28,Götuumferð!$O$18:$O$29,Götuumferð!$AB$18:$AB$29,0,0,1)</f>
        <v>1098.4939914592933</v>
      </c>
      <c r="G29" s="56">
        <f>_xlfn.XLOOKUP(Reykjavík!G28,Götuumferð!$O$18:$O$29,Götuumferð!$AB$18:$AB$29,0,0,1)</f>
        <v>1110.6731317499998</v>
      </c>
      <c r="H29" s="56">
        <f>_xlfn.XLOOKUP(Reykjavík!H28,Götuumferð!$O$18:$O$29,Götuumferð!$AB$18:$AB$29,0,0,1)</f>
        <v>997.30425267765895</v>
      </c>
      <c r="I29" s="56">
        <f>_xlfn.XLOOKUP(Reykjavík!I28,Götuumferð!$O$18:$O$29,Götuumferð!$AB$18:$AB$29,0,0,1)</f>
        <v>1090.7107909782221</v>
      </c>
      <c r="J29" s="56">
        <f>_xlfn.XLOOKUP(Reykjavík!J28,Götuumferð!$O$18:$O$29,Götuumferð!$AB$18:$AB$29,0,0,1)</f>
        <v>1107.8058116504744</v>
      </c>
      <c r="K29" s="56">
        <f>_xlfn.XLOOKUP(Reykjavík!K28,Götuumferð!$O$18:$O$29,Götuumferð!$AB$18:$AB$29,0,0,1)</f>
        <v>1158.7648789863963</v>
      </c>
      <c r="L29" s="811">
        <f>K29/J29</f>
        <v>1.046</v>
      </c>
      <c r="M29" t="s">
        <v>136</v>
      </c>
      <c r="O29" s="33"/>
      <c r="P29" s="33"/>
      <c r="Q29" s="33"/>
      <c r="R29" s="33"/>
      <c r="S29" s="33"/>
    </row>
    <row r="30" spans="1:19" ht="15" customHeight="1" x14ac:dyDescent="0.65">
      <c r="A30" s="1067" t="s">
        <v>137</v>
      </c>
      <c r="B30" s="57" t="s">
        <v>4</v>
      </c>
      <c r="C30" s="1065"/>
      <c r="D30" s="56">
        <f>SUM(D31:D33)</f>
        <v>255466.16046931245</v>
      </c>
      <c r="E30" s="56">
        <f t="shared" ref="E30:G30" si="9">SUM(E31:E33)</f>
        <v>275910.42505486868</v>
      </c>
      <c r="F30" s="56">
        <f t="shared" si="9"/>
        <v>283647.64010407473</v>
      </c>
      <c r="G30" s="56">
        <f t="shared" si="9"/>
        <v>292951.79011282284</v>
      </c>
      <c r="H30" s="1068">
        <f>SUM(H31:H33)</f>
        <v>260826.86854293308</v>
      </c>
      <c r="I30" s="1068">
        <f>SUM(I31:I33)</f>
        <v>283218.90292710607</v>
      </c>
      <c r="J30" s="1068">
        <f>SUM(J31:J33)</f>
        <v>269395.33225450432</v>
      </c>
      <c r="K30" s="1068">
        <f>SUM(K31:K33)</f>
        <v>263036.99088380265</v>
      </c>
      <c r="L30" s="1073">
        <f>0.2*K30</f>
        <v>52607.398176760529</v>
      </c>
      <c r="M30" s="910" t="s">
        <v>138</v>
      </c>
      <c r="S30" s="33"/>
    </row>
    <row r="31" spans="1:19" ht="15" customHeight="1" x14ac:dyDescent="0.65">
      <c r="A31" s="56" t="s">
        <v>139</v>
      </c>
      <c r="B31" s="57" t="s">
        <v>4</v>
      </c>
      <c r="C31" s="1065"/>
      <c r="D31" s="56">
        <f>Götuumferð!KL21</f>
        <v>177288.72100304358</v>
      </c>
      <c r="E31" s="56">
        <f>Götuumferð!KG21</f>
        <v>191476.65694556726</v>
      </c>
      <c r="F31" s="56">
        <f>Götuumferð!KB21</f>
        <v>196846.13898451629</v>
      </c>
      <c r="G31" s="56">
        <f>Götuumferð!IL21</f>
        <v>203536.7628924434</v>
      </c>
      <c r="H31" s="1068">
        <f>Götuumferð!GV21</f>
        <v>182447.62542862695</v>
      </c>
      <c r="I31" s="1068">
        <f>Götuumferð!FE21</f>
        <v>197241.7370532557</v>
      </c>
      <c r="J31" s="1068">
        <f>Götuumferð!DN54</f>
        <v>180177.72222401455</v>
      </c>
      <c r="K31" s="1068">
        <f>Götuumferð!BT56</f>
        <v>182631.6253205798</v>
      </c>
      <c r="M31" t="s">
        <v>140</v>
      </c>
      <c r="S31" s="33"/>
    </row>
    <row r="32" spans="1:19" ht="15" customHeight="1" x14ac:dyDescent="0.65">
      <c r="A32" s="56" t="s">
        <v>141</v>
      </c>
      <c r="B32" s="57" t="s">
        <v>4</v>
      </c>
      <c r="C32" s="1065"/>
      <c r="D32" s="56">
        <f>Götuumferð!KL22</f>
        <v>13223.836954500219</v>
      </c>
      <c r="E32" s="56">
        <f>Götuumferð!KG22</f>
        <v>14282.104793330222</v>
      </c>
      <c r="F32" s="56">
        <f>Götuumferð!KB22</f>
        <v>14682.610559356704</v>
      </c>
      <c r="G32" s="56">
        <f>Götuumferð!IL22</f>
        <v>14936.860757197919</v>
      </c>
      <c r="H32" s="1068">
        <f>Götuumferð!GV22</f>
        <v>11698.090093541421</v>
      </c>
      <c r="I32" s="1068">
        <f>Götuumferð!FE22</f>
        <v>9599.8679501088409</v>
      </c>
      <c r="J32" s="1068">
        <f>Götuumferð!DN55</f>
        <v>14630.465949535896</v>
      </c>
      <c r="K32" s="1068">
        <f>Götuumferð!BT57</f>
        <v>17804.542522148538</v>
      </c>
      <c r="M32" t="s">
        <v>142</v>
      </c>
      <c r="S32" s="33"/>
    </row>
    <row r="33" spans="1:19" ht="15" customHeight="1" x14ac:dyDescent="0.65">
      <c r="A33" s="56" t="s">
        <v>143</v>
      </c>
      <c r="B33" s="57" t="s">
        <v>4</v>
      </c>
      <c r="C33" s="1065"/>
      <c r="D33" s="56">
        <f>Götuumferð!KL23</f>
        <v>64953.602511768651</v>
      </c>
      <c r="E33" s="56">
        <f>Götuumferð!KG23</f>
        <v>70151.663315971178</v>
      </c>
      <c r="F33" s="56">
        <f>Götuumferð!KB23</f>
        <v>72118.890560201733</v>
      </c>
      <c r="G33" s="56">
        <f>Götuumferð!IL23</f>
        <v>74478.166463181537</v>
      </c>
      <c r="H33" s="1068">
        <f>Götuumferð!GV23</f>
        <v>66681.153020764716</v>
      </c>
      <c r="I33" s="1068">
        <f>Götuumferð!FE23</f>
        <v>76377.297923741542</v>
      </c>
      <c r="J33" s="1068">
        <f>Götuumferð!DN56</f>
        <v>74587.144080953862</v>
      </c>
      <c r="K33" s="1068">
        <f>Götuumferð!BT58</f>
        <v>62600.823041074313</v>
      </c>
      <c r="S33" s="33"/>
    </row>
    <row r="34" spans="1:19" ht="15" customHeight="1" x14ac:dyDescent="0.65">
      <c r="A34" s="56" t="s">
        <v>144</v>
      </c>
      <c r="B34" s="56"/>
      <c r="C34" s="56" t="e">
        <f>HLOOKUP(Skip!$AI$8,Skip!$AD$8:$AI$73,MATCH(C$28,Skip!$B$8:$B$73,0),FALSE)</f>
        <v>#N/A</v>
      </c>
      <c r="D34" s="56">
        <f>HLOOKUP(Skip!$AI$8,Skip!$AD$8:$AI$73,MATCH(D$28,Skip!$B$8:$B$73,0),FALSE)</f>
        <v>6943</v>
      </c>
      <c r="E34" s="56">
        <f>HLOOKUP(Skip!$AI$8,Skip!$AD$8:$AI$73,MATCH(E$28,Skip!$B$8:$B$73,0),FALSE)</f>
        <v>6621</v>
      </c>
      <c r="F34" s="56">
        <f>HLOOKUP(Skip!$AI$8,Skip!$AD$8:$AI$73,MATCH(F$28,Skip!$B$8:$B$73,0),FALSE)</f>
        <v>5815</v>
      </c>
      <c r="G34" s="56">
        <f>HLOOKUP(Skip!$AI$8,Skip!$AD$8:$AI$73,MATCH(G$28,Skip!$B$8:$B$73,0),FALSE)</f>
        <v>6765</v>
      </c>
      <c r="H34" s="1062">
        <f>HLOOKUP(Skip!$AI$8,Skip!$AD$8:$AI$73,MATCH(H$28,Skip!$B$8:$B$73,0),FALSE)</f>
        <v>2653</v>
      </c>
      <c r="I34" s="1062">
        <f>HLOOKUP(Skip!$AI$8,Skip!$AD$8:$AI$1005,MATCH(I$28,Skip!$B$8:$B$1005,0),FALSE)</f>
        <v>3476</v>
      </c>
      <c r="J34" s="1062">
        <f>HLOOKUP(Skip!$AI$8,Skip!$AD$8:$AI$1005,MATCH(J$28,Skip!$B$8:$B$1005,0),FALSE)</f>
        <v>5171</v>
      </c>
      <c r="K34" s="1062">
        <f>Skip!AI112</f>
        <v>5695</v>
      </c>
      <c r="M34" t="s">
        <v>145</v>
      </c>
      <c r="N34" s="32"/>
      <c r="O34" s="32"/>
      <c r="P34" s="32"/>
      <c r="Q34" s="32"/>
      <c r="R34" s="32"/>
      <c r="S34" s="33"/>
    </row>
    <row r="35" spans="1:19" ht="15" customHeight="1" x14ac:dyDescent="0.65">
      <c r="A35" s="1067" t="s">
        <v>146</v>
      </c>
      <c r="B35" s="57" t="s">
        <v>4</v>
      </c>
      <c r="C35" s="56" t="e">
        <f>HLOOKUP(Skip!$AG$8,Skip!$AD$8:$AI$73,MATCH(C$28,Skip!$B$8:$B$73,0),FALSE)</f>
        <v>#N/A</v>
      </c>
      <c r="D35" s="56">
        <f>HLOOKUP(Skip!$AG$8,Skip!$AD$8:$AI$73,MATCH(D$28,Skip!$B$8:$B$73,0),FALSE)</f>
        <v>40017.414575000003</v>
      </c>
      <c r="E35" s="56">
        <f>Skip!AG129</f>
        <v>34600</v>
      </c>
      <c r="F35" s="56">
        <f>Skip!AG130</f>
        <v>39750</v>
      </c>
      <c r="G35" s="56">
        <f>Skip!AG131</f>
        <v>47440</v>
      </c>
      <c r="H35" s="1062">
        <f>Skip!AG132</f>
        <v>35080</v>
      </c>
      <c r="I35" s="1062">
        <f>Skip!AG133</f>
        <v>28630</v>
      </c>
      <c r="J35" s="1062">
        <f>Skip!AG134</f>
        <v>42480</v>
      </c>
      <c r="K35" s="1062">
        <f>Skip!AG135</f>
        <v>51970</v>
      </c>
      <c r="O35" s="33"/>
      <c r="P35" s="33"/>
      <c r="Q35" s="33"/>
      <c r="R35" s="33"/>
      <c r="S35" s="33"/>
    </row>
    <row r="36" spans="1:19" ht="15" customHeight="1" x14ac:dyDescent="0.65">
      <c r="A36" s="56" t="s">
        <v>1033</v>
      </c>
      <c r="B36" s="57" t="s">
        <v>4</v>
      </c>
      <c r="C36" s="56"/>
      <c r="D36" s="56"/>
      <c r="E36" s="56"/>
      <c r="F36" s="56"/>
      <c r="G36" s="56"/>
      <c r="H36" s="1062"/>
      <c r="I36" s="1062"/>
      <c r="J36" s="1062"/>
      <c r="K36" s="1062">
        <f>Skip!AG112</f>
        <v>64372</v>
      </c>
      <c r="L36">
        <f>Skip!AG135</f>
        <v>51970</v>
      </c>
      <c r="M36" s="717">
        <f>K36-K35</f>
        <v>12402</v>
      </c>
      <c r="O36" s="33"/>
      <c r="P36" s="33"/>
      <c r="Q36" s="33"/>
      <c r="R36" s="33"/>
      <c r="S36" s="33"/>
    </row>
    <row r="37" spans="1:19" ht="15" customHeight="1" x14ac:dyDescent="0.65">
      <c r="A37" s="56" t="s">
        <v>147</v>
      </c>
      <c r="B37" s="57"/>
      <c r="C37" s="56"/>
      <c r="D37" s="56">
        <f>HLOOKUP(Flug!$AY$9,Flug!$AW$9:$BA$105,MATCH(D$28,Flug!$AX$9:$AX$105,0),FALSE)</f>
        <v>63732</v>
      </c>
      <c r="E37" s="56">
        <f>HLOOKUP(Flug!$AY$9,Flug!$AW$9:$BA$105,MATCH(E$28,Flug!$AX$9:$AX$105,0),FALSE)</f>
        <v>64656</v>
      </c>
      <c r="F37" s="56">
        <f>HLOOKUP(Flug!$AY$9,Flug!$AW$9:$BA$105,MATCH(F$28,Flug!$AX$9:$AX$105,0),FALSE)</f>
        <v>64190</v>
      </c>
      <c r="G37" s="56">
        <f>HLOOKUP(Flug!$AY$9,Flug!$AW$9:$BA$105,MATCH(G$28,Flug!$AX$9:$AX$105,0),FALSE)</f>
        <v>59689</v>
      </c>
      <c r="H37" s="1062">
        <f>HLOOKUP(Flug!$AY$9,Flug!$AW$9:$BA$105,MATCH(H$28,Flug!$AX$9:$AX$105,0),FALSE)</f>
        <v>40561</v>
      </c>
      <c r="I37" s="1062">
        <f>HLOOKUP(Flug!$AY$9,Flug!$AW$9:$BA$105,MATCH(I$28,Flug!$AX$9:$AX$105,0),FALSE)</f>
        <v>49012</v>
      </c>
      <c r="J37" s="1062">
        <f>HLOOKUP(Flug!$AY$9,Flug!$AW$9:$BA$105,MATCH(J$28,Flug!$AX$9:$AX$105,0),FALSE)</f>
        <v>42772</v>
      </c>
      <c r="K37" s="1062">
        <f>Flug!AY98</f>
        <v>44569</v>
      </c>
      <c r="M37" s="727" t="s">
        <v>148</v>
      </c>
      <c r="O37" s="33"/>
      <c r="P37" s="33"/>
      <c r="Q37" s="33"/>
      <c r="R37" s="33"/>
      <c r="S37" s="33"/>
    </row>
    <row r="38" spans="1:19" ht="15" customHeight="1" x14ac:dyDescent="0.65">
      <c r="A38" s="1067" t="s">
        <v>149</v>
      </c>
      <c r="B38" s="57" t="s">
        <v>4</v>
      </c>
      <c r="C38" s="56"/>
      <c r="D38" s="56">
        <f>HLOOKUP(Flug!$BA$9,Flug!$AW$9:$BA$105,MATCH(D$28,Flug!$AX$9:$AX$105,0),FALSE)</f>
        <v>5400.7160188601574</v>
      </c>
      <c r="E38" s="56">
        <f>HLOOKUP(Flug!$BA$9,Flug!$AW$9:$BA$105,MATCH(E$28,Flug!$AX$9:$AX$105,0),FALSE)</f>
        <v>4792.3453956006551</v>
      </c>
      <c r="F38" s="56">
        <f>HLOOKUP(Flug!$BA$9,Flug!$AW$9:$BA$105,MATCH(F$28,Flug!$AX$9:$AX$105,0),FALSE)</f>
        <v>7325.3866733465939</v>
      </c>
      <c r="G38" s="56">
        <f>HLOOKUP(Flug!$BA$9,Flug!$AW$9:$BA$105,MATCH(G$28,Flug!$AX$9:$AX$105,0),FALSE)</f>
        <v>6937.1982702861123</v>
      </c>
      <c r="H38" s="1062">
        <f>HLOOKUP(Flug!$BA$9,Flug!$AW$9:$BA$105,MATCH(H$28,Flug!$AX$9:$AX$105,0),FALSE)</f>
        <v>4542.5582514083553</v>
      </c>
      <c r="I38" s="1062">
        <f>HLOOKUP(Flug!$BA$9,Flug!$AW$9:$BA$105,MATCH(I$28,Flug!$AX$9:$AX$105,0),FALSE)</f>
        <v>6698.8813711630573</v>
      </c>
      <c r="J38" s="1062">
        <f>HLOOKUP(Flug!$BA$9,Flug!$AW$9:$BA$105,MATCH(J$28,Flug!$AX$9:$AX$105,0),FALSE)</f>
        <v>5939.1766057704244</v>
      </c>
      <c r="K38" s="1062">
        <f>Flug!BA98</f>
        <v>6188.7020046428052</v>
      </c>
      <c r="O38" s="33"/>
      <c r="P38" s="33"/>
      <c r="Q38" s="33"/>
      <c r="R38" s="33"/>
      <c r="S38" s="33"/>
    </row>
    <row r="39" spans="1:19" ht="13.5" customHeight="1" x14ac:dyDescent="0.6">
      <c r="A39" s="1"/>
      <c r="B39" s="2"/>
      <c r="C39" s="3"/>
      <c r="D39" s="3"/>
      <c r="E39" s="3"/>
      <c r="F39" s="3"/>
      <c r="G39" s="3"/>
      <c r="H39" s="3"/>
      <c r="I39" s="3"/>
      <c r="J39" s="3"/>
      <c r="K39" s="3"/>
    </row>
    <row r="40" spans="1:19" ht="24.75" customHeight="1" x14ac:dyDescent="0.6">
      <c r="A40" s="1052" t="s">
        <v>150</v>
      </c>
      <c r="B40" s="1053" t="s">
        <v>2</v>
      </c>
      <c r="C40" s="1054">
        <v>2015</v>
      </c>
      <c r="D40" s="1054">
        <v>2016</v>
      </c>
      <c r="E40" s="1054">
        <v>2017</v>
      </c>
      <c r="F40" s="1054">
        <v>2018</v>
      </c>
      <c r="G40" s="1054">
        <v>2019</v>
      </c>
      <c r="H40" s="1054">
        <v>2020</v>
      </c>
      <c r="I40" s="1054">
        <v>2021</v>
      </c>
      <c r="J40" s="1054">
        <v>2022</v>
      </c>
      <c r="K40" s="1054">
        <v>2023</v>
      </c>
      <c r="L40" s="811"/>
    </row>
    <row r="41" spans="1:19" ht="15" customHeight="1" x14ac:dyDescent="0.65">
      <c r="A41" s="56" t="s">
        <v>151</v>
      </c>
      <c r="B41" s="56" t="s">
        <v>152</v>
      </c>
      <c r="C41" s="56">
        <f>_xlfn.XLOOKUP(C40,'Álfsnes - Urðun'!$A$74:$A$86,'Álfsnes - Urðun'!$K$74:$K$86,0,0,1)*1000</f>
        <v>111738.162</v>
      </c>
      <c r="D41" s="56">
        <f>_xlfn.XLOOKUP(D40,'Álfsnes - Urðun'!$A$74:$A$86,'Álfsnes - Urðun'!$K$74:$K$86,0,0,1)*1000</f>
        <v>122551.49899999998</v>
      </c>
      <c r="E41" s="56">
        <f>_xlfn.XLOOKUP(E40,'Álfsnes - Urðun'!$A$74:$A$86,'Álfsnes - Urðun'!$K$74:$K$86,0,0,1)*1000</f>
        <v>141925.35500000001</v>
      </c>
      <c r="F41" s="56">
        <f>_xlfn.XLOOKUP(F40,'Álfsnes - Urðun'!$A$74:$A$86,'Álfsnes - Urðun'!$K$74:$K$86,0,0,1)*1000</f>
        <v>147361.95300000001</v>
      </c>
      <c r="G41" s="56">
        <f>_xlfn.XLOOKUP(G40,'Álfsnes - Urðun'!$A$74:$A$86,'Álfsnes - Urðun'!$K$74:$K$86,0,0,1)*1000</f>
        <v>130971.52300000002</v>
      </c>
      <c r="H41" s="1062">
        <f>_xlfn.XLOOKUP(H40,'Álfsnes - Urðun'!$A$74:$A$86,'Álfsnes - Urðun'!$K$74:$K$86,0,0,1)*1000</f>
        <v>105254.98999999999</v>
      </c>
      <c r="I41" s="1062">
        <f>_xlfn.XLOOKUP(I40,'Álfsnes - Urðun'!$A$74:$A$86,'Álfsnes - Urðun'!$K$74:$K$86,0,0,1)*1000</f>
        <v>96272.450000000012</v>
      </c>
      <c r="J41" s="1062">
        <f>_xlfn.XLOOKUP(J40,'Álfsnes - Urðun'!$A$74:$A$86,'Álfsnes - Urðun'!$K$74:$K$86,0,0,1)*1000</f>
        <v>67470.67</v>
      </c>
      <c r="K41" s="1062">
        <f>_xlfn.XLOOKUP(K40,'Álfsnes - Urðun'!$A$74:$A$86,'Álfsnes - Urðun'!$K$74:$K$86,0,0,1)*1000</f>
        <v>53841.210000000014</v>
      </c>
      <c r="L41" s="1074">
        <f>K41/F41</f>
        <v>0.36536710394982352</v>
      </c>
      <c r="M41" s="727" t="s">
        <v>153</v>
      </c>
      <c r="O41" s="33"/>
      <c r="P41" s="33"/>
      <c r="Q41" s="33"/>
      <c r="R41" s="33"/>
      <c r="S41" s="33"/>
    </row>
    <row r="42" spans="1:19" ht="15" customHeight="1" x14ac:dyDescent="0.65">
      <c r="A42" s="56" t="s">
        <v>154</v>
      </c>
      <c r="B42" s="57" t="s">
        <v>4</v>
      </c>
      <c r="C42" s="56">
        <f>_xlfn.XLOOKUP(C40,'Álfsnes - Urðun'!$A$74:$A$86,'Álfsnes - Urðun'!$N$74:$N$86,0,0,1)*1000</f>
        <v>101618.2042412498</v>
      </c>
      <c r="D42" s="56">
        <f>_xlfn.XLOOKUP(D40,'Álfsnes - Urðun'!$A$74:$A$86,'Álfsnes - Urðun'!$N$74:$N$86,0,0,1)*1000</f>
        <v>103972.79453288078</v>
      </c>
      <c r="E42" s="56">
        <f>_xlfn.XLOOKUP(E40,'Álfsnes - Urðun'!$A$74:$A$86,'Álfsnes - Urðun'!$N$74:$N$86,0,0,1)*1000</f>
        <v>104850.03517874557</v>
      </c>
      <c r="F42" s="56">
        <f>_xlfn.XLOOKUP(F40,'Álfsnes - Urðun'!$A$74:$A$86,'Álfsnes - Urðun'!$N$74:$N$86,0,0,1)*1000</f>
        <v>104977.39802284515</v>
      </c>
      <c r="G42" s="56">
        <f>_xlfn.XLOOKUP(G40,'Álfsnes - Urðun'!$A$74:$A$86,'Álfsnes - Urðun'!$N$74:$N$86,0,0,1)*1000</f>
        <v>81313.907947350031</v>
      </c>
      <c r="H42" s="1062">
        <f>_xlfn.XLOOKUP(H40,'Álfsnes - Urðun'!$A$74:$A$86,'Álfsnes - Urðun'!$N$74:$N$86,0,0,1)*1000</f>
        <v>108873.392047849</v>
      </c>
      <c r="I42" s="1062">
        <f>_xlfn.XLOOKUP(I40,'Álfsnes - Urðun'!$A$74:$A$86,'Álfsnes - Urðun'!$N$74:$N$86,0,0,1)*1000</f>
        <v>111546.62695537311</v>
      </c>
      <c r="J42" s="1062">
        <f>_xlfn.XLOOKUP(J40,'Álfsnes - Urðun'!$A$74:$A$86,'Álfsnes - Urðun'!$N$74:$N$86,0,0,1)*1000</f>
        <v>106773.69978163653</v>
      </c>
      <c r="K42" s="1062">
        <f>_xlfn.XLOOKUP(K40,'Álfsnes - Urðun'!$A$74:$A$86,'Álfsnes - Urðun'!$N$74:$N$86,0,0,1)*1000</f>
        <v>93455.481703900878</v>
      </c>
      <c r="M42" t="s">
        <v>155</v>
      </c>
      <c r="O42" s="33"/>
      <c r="P42" s="33"/>
      <c r="Q42" s="33">
        <v>28</v>
      </c>
      <c r="R42" s="33"/>
      <c r="S42" s="33"/>
    </row>
    <row r="43" spans="1:19" ht="15" customHeight="1" x14ac:dyDescent="0.65">
      <c r="A43" s="56" t="s">
        <v>156</v>
      </c>
      <c r="B43" s="57" t="s">
        <v>4</v>
      </c>
      <c r="C43" s="56">
        <f>C42*C6</f>
        <v>58465.052461713523</v>
      </c>
      <c r="D43" s="56">
        <f>D42*D6</f>
        <v>59446.491877959321</v>
      </c>
      <c r="E43" s="56">
        <f t="shared" ref="E43:H43" si="10">E42*E6</f>
        <v>59487.746760963069</v>
      </c>
      <c r="F43" s="56">
        <f t="shared" si="10"/>
        <v>59349.992056981653</v>
      </c>
      <c r="G43" s="56">
        <f>G42*G6</f>
        <v>45762.527610931633</v>
      </c>
      <c r="H43" s="1062">
        <f t="shared" si="10"/>
        <v>60981.069374793056</v>
      </c>
      <c r="I43" s="1062">
        <f t="shared" ref="I43" si="11">I42*I6</f>
        <v>62533.83298489415</v>
      </c>
      <c r="J43" s="1062">
        <f t="shared" ref="J43:K43" si="12">J42*J6</f>
        <v>59832.550184976702</v>
      </c>
      <c r="K43" s="1062">
        <f t="shared" si="12"/>
        <v>52511.084212098373</v>
      </c>
      <c r="M43" s="1059">
        <f>K41*K6</f>
        <v>30252.482367476394</v>
      </c>
      <c r="N43">
        <v>30252.482367476394</v>
      </c>
      <c r="O43" s="33"/>
      <c r="P43" s="33"/>
      <c r="Q43" s="33">
        <v>29.6</v>
      </c>
      <c r="R43" s="33"/>
      <c r="S43" s="33"/>
    </row>
    <row r="44" spans="1:19" ht="15" customHeight="1" x14ac:dyDescent="0.65">
      <c r="A44" s="56" t="s">
        <v>1023</v>
      </c>
      <c r="B44" s="57" t="s">
        <v>152</v>
      </c>
      <c r="C44" s="56">
        <v>0</v>
      </c>
      <c r="D44" s="56"/>
      <c r="E44" s="56"/>
      <c r="F44" s="56"/>
      <c r="G44" s="56"/>
      <c r="H44" s="1062">
        <f>Úrgangur!AN14</f>
        <v>2100</v>
      </c>
      <c r="I44" s="1062">
        <f>Úrgangur!AO14</f>
        <v>18000</v>
      </c>
      <c r="J44" s="1062">
        <f>Úrgangur!AP14</f>
        <v>26896</v>
      </c>
      <c r="K44" s="1062">
        <f>Úrgangur!AQ14</f>
        <v>29751</v>
      </c>
      <c r="M44" s="1059">
        <f>K41-M43</f>
        <v>23588.72763252362</v>
      </c>
      <c r="N44">
        <v>23588.72763252362</v>
      </c>
      <c r="O44" s="33"/>
      <c r="P44" s="33"/>
      <c r="Q44" s="33"/>
      <c r="R44" s="33"/>
      <c r="S44" s="33"/>
    </row>
    <row r="45" spans="1:19" ht="15" customHeight="1" x14ac:dyDescent="0.65">
      <c r="A45" s="56" t="s">
        <v>157</v>
      </c>
      <c r="B45" s="57" t="s">
        <v>4</v>
      </c>
      <c r="C45" s="56">
        <f>Úrgangur!AI15</f>
        <v>0</v>
      </c>
      <c r="D45" s="56">
        <f>Úrgangur!AJ15</f>
        <v>0</v>
      </c>
      <c r="E45" s="56">
        <f>Úrgangur!AK15</f>
        <v>0</v>
      </c>
      <c r="F45" s="56">
        <f>Úrgangur!AL15</f>
        <v>0</v>
      </c>
      <c r="G45" s="56">
        <f>Úrgangur!AM15</f>
        <v>0</v>
      </c>
      <c r="H45" s="1062">
        <f>Úrgangur!AN15</f>
        <v>56.7</v>
      </c>
      <c r="I45" s="1062">
        <f>Úrgangur!AO15</f>
        <v>486</v>
      </c>
      <c r="J45" s="1062">
        <f>Úrgangur!AP15</f>
        <v>726.19200000000001</v>
      </c>
      <c r="K45" s="1062">
        <f>29751*0.027</f>
        <v>803.27700000000004</v>
      </c>
      <c r="M45" s="717">
        <f>K44*K6</f>
        <v>16716.593161906836</v>
      </c>
      <c r="O45" s="33"/>
      <c r="P45" s="33"/>
      <c r="Q45" s="33"/>
      <c r="R45" s="33"/>
      <c r="S45" s="33"/>
    </row>
    <row r="46" spans="1:19" ht="15" customHeight="1" x14ac:dyDescent="0.65">
      <c r="A46" s="56" t="s">
        <v>158</v>
      </c>
      <c r="B46" s="57" t="s">
        <v>4</v>
      </c>
      <c r="C46" s="56"/>
      <c r="D46" s="56">
        <f>D45*D6</f>
        <v>0</v>
      </c>
      <c r="E46" s="56">
        <f t="shared" ref="E46:H46" si="13">E45*E6</f>
        <v>0</v>
      </c>
      <c r="F46" s="56">
        <f t="shared" si="13"/>
        <v>0</v>
      </c>
      <c r="G46" s="56">
        <f t="shared" si="13"/>
        <v>0</v>
      </c>
      <c r="H46" s="1062">
        <f t="shared" si="13"/>
        <v>31.758233747609946</v>
      </c>
      <c r="I46" s="1062">
        <f t="shared" ref="I46" si="14">I45*I6</f>
        <v>272.45505902045227</v>
      </c>
      <c r="J46" s="1062">
        <f t="shared" ref="J46:K46" si="15">J45*J6</f>
        <v>406.93466062137276</v>
      </c>
      <c r="K46" s="1062">
        <f t="shared" si="15"/>
        <v>451.34801537148456</v>
      </c>
      <c r="M46" s="717">
        <f>K44-M45</f>
        <v>13034.406838093164</v>
      </c>
      <c r="O46" s="33"/>
      <c r="P46" s="33"/>
      <c r="Q46" s="33"/>
      <c r="R46" s="33"/>
      <c r="S46" s="33"/>
    </row>
    <row r="47" spans="1:19" ht="15" customHeight="1" x14ac:dyDescent="0.65">
      <c r="A47" s="56" t="s">
        <v>962</v>
      </c>
      <c r="B47" s="57" t="s">
        <v>152</v>
      </c>
      <c r="C47" s="56"/>
      <c r="D47" s="56"/>
      <c r="E47" s="56"/>
      <c r="F47" s="56"/>
      <c r="G47" s="56"/>
      <c r="H47" s="1062"/>
      <c r="I47" s="1062"/>
      <c r="J47" s="1062"/>
      <c r="K47" s="1062">
        <v>4684.7629999999999</v>
      </c>
      <c r="O47" s="33"/>
      <c r="P47" s="33"/>
      <c r="Q47" s="33"/>
      <c r="R47" s="33"/>
      <c r="S47" s="33"/>
    </row>
    <row r="48" spans="1:19" ht="15" customHeight="1" x14ac:dyDescent="0.65">
      <c r="A48" s="56" t="s">
        <v>963</v>
      </c>
      <c r="B48" s="57" t="s">
        <v>4</v>
      </c>
      <c r="C48" s="56"/>
      <c r="D48" s="56"/>
      <c r="E48" s="56"/>
      <c r="F48" s="56"/>
      <c r="G48" s="56"/>
      <c r="H48" s="1062"/>
      <c r="I48" s="1062"/>
      <c r="J48" s="1062"/>
      <c r="K48" s="1062">
        <f>K47*Úrgangur!U36</f>
        <v>3204.377892</v>
      </c>
      <c r="M48" s="1059">
        <f>K47*K6</f>
        <v>2632.290582869623</v>
      </c>
      <c r="O48" s="33"/>
      <c r="P48" s="33"/>
      <c r="Q48" s="33"/>
      <c r="R48" s="33"/>
      <c r="S48" s="33"/>
    </row>
    <row r="49" spans="1:19" ht="15" customHeight="1" x14ac:dyDescent="0.65">
      <c r="A49" s="56" t="s">
        <v>1024</v>
      </c>
      <c r="B49" s="57" t="s">
        <v>4</v>
      </c>
      <c r="C49" s="56"/>
      <c r="D49" s="56"/>
      <c r="E49" s="56"/>
      <c r="F49" s="56"/>
      <c r="G49" s="56"/>
      <c r="H49" s="1062"/>
      <c r="I49" s="1062"/>
      <c r="J49" s="1062"/>
      <c r="K49" s="1062">
        <f>K48*$K$6</f>
        <v>1800.486758682822</v>
      </c>
      <c r="M49" s="717"/>
      <c r="N49" s="717"/>
      <c r="O49" s="33"/>
      <c r="P49" s="33"/>
      <c r="Q49" s="33"/>
      <c r="R49" s="33"/>
      <c r="S49" s="33"/>
    </row>
    <row r="50" spans="1:19" ht="15" customHeight="1" x14ac:dyDescent="0.65">
      <c r="A50" s="56" t="s">
        <v>159</v>
      </c>
      <c r="B50" s="56" t="s">
        <v>160</v>
      </c>
      <c r="C50" s="56"/>
      <c r="D50" s="56">
        <f>HLOOKUP(""&amp;D$40,tblBrennsla[#All],MATCH("Brennsla",tblBrennsla[[#All],[Tímabil]],0),FALSE)</f>
        <v>11019040</v>
      </c>
      <c r="E50" s="56">
        <f>HLOOKUP(""&amp;E$40,tblBrennsla[#All],MATCH(Úrgangur!$U$18,tblBrennsla[[#All],[Tímabil]],0),FALSE)</f>
        <v>11529789</v>
      </c>
      <c r="F50" s="56">
        <f>HLOOKUP(""&amp;F$40,tblBrennsla[#All],MATCH(Úrgangur!$U$18,tblBrennsla[[#All],[Tímabil]],0),FALSE)</f>
        <v>11479101</v>
      </c>
      <c r="G50" s="56">
        <f>HLOOKUP(""&amp;G$40,tblBrennsla[#All],MATCH(Úrgangur!$U$18,tblBrennsla[[#All],[Tímabil]],0),FALSE)</f>
        <v>10549953</v>
      </c>
      <c r="H50" s="1062">
        <f>HLOOKUP(""&amp;H$40,tblBrennsla[#All],MATCH(Úrgangur!$U$18,tblBrennsla[[#All],[Tímabil]],0),FALSE)</f>
        <v>11023463</v>
      </c>
      <c r="I50" s="1062">
        <f>HLOOKUP(""&amp;I$40,tblBrennsla[#All],MATCH(Úrgangur!$U$18,tblBrennsla[[#All],[Tímabil]],0),FALSE)</f>
        <v>12646135</v>
      </c>
      <c r="J50" s="1062">
        <f>HLOOKUP(""&amp;J$40,tblBrennsla[#All],MATCH(Úrgangur!$U$18,tblBrennsla[[#All],[Tímabil]],0),FALSE)</f>
        <v>11780000</v>
      </c>
      <c r="K50" s="1062">
        <f>HLOOKUP(""&amp;K$40,tblBrennsla[#All],MATCH(Úrgangur!$U$18,tblBrennsla[[#All],[Tímabil]],0),FALSE)</f>
        <v>11520000</v>
      </c>
      <c r="M50" t="s">
        <v>161</v>
      </c>
      <c r="S50" s="33"/>
    </row>
    <row r="51" spans="1:19" ht="15" customHeight="1" x14ac:dyDescent="0.65">
      <c r="A51" s="56" t="s">
        <v>162</v>
      </c>
      <c r="B51" s="56" t="s">
        <v>160</v>
      </c>
      <c r="C51" s="56"/>
      <c r="D51" s="56">
        <f>D50*D6</f>
        <v>6300141.0590705564</v>
      </c>
      <c r="E51" s="56">
        <f t="shared" ref="E51:H51" si="16">E50*E6</f>
        <v>6541544.4741631746</v>
      </c>
      <c r="F51" s="56">
        <f t="shared" si="16"/>
        <v>6489821.2948946329</v>
      </c>
      <c r="G51" s="56">
        <f t="shared" si="16"/>
        <v>5937391.6177923027</v>
      </c>
      <c r="H51" s="1062">
        <f t="shared" si="16"/>
        <v>6174351.2286089873</v>
      </c>
      <c r="I51" s="1062">
        <f t="shared" ref="I51" si="17">I50*I6</f>
        <v>7089513.2876658589</v>
      </c>
      <c r="J51" s="1062">
        <f>J50*J6</f>
        <v>6601133.4497209704</v>
      </c>
      <c r="K51" s="1062">
        <f>K50*K6</f>
        <v>6472896.8177596293</v>
      </c>
      <c r="S51" s="33"/>
    </row>
    <row r="52" spans="1:19" ht="15" customHeight="1" x14ac:dyDescent="0.65">
      <c r="A52" s="56" t="s">
        <v>163</v>
      </c>
      <c r="B52" s="57" t="s">
        <v>4</v>
      </c>
      <c r="C52" s="56"/>
      <c r="D52" s="56">
        <f>HLOOKUP(""&amp;D$40,tblBrennsla[#All],MATCH(Úrgangur!$U$26,tblBrennsla[[#All],[Tímabil]],0),FALSE)</f>
        <v>4309.2964844042608</v>
      </c>
      <c r="E52" s="56">
        <f>HLOOKUP(""&amp;E$40,tblBrennsla[#All],MATCH(Úrgangur!$U$26,tblBrennsla[[#All],[Tímabil]],0),FALSE)</f>
        <v>4474.4164203276123</v>
      </c>
      <c r="F52" s="56">
        <f>HLOOKUP(""&amp;F$40,tblBrennsla[#All],MATCH(Úrgangur!$U$26,tblBrennsla[[#All],[Tímabil]],0),FALSE)</f>
        <v>4439.0377657079298</v>
      </c>
      <c r="G52" s="56">
        <f>HLOOKUP(""&amp;G$40,tblBrennsla[#All],MATCH(Úrgangur!$U$26,tblBrennsla[[#All],[Tímabil]],0),FALSE)</f>
        <v>4061.1758665699354</v>
      </c>
      <c r="H52" s="1062">
        <f>HLOOKUP(""&amp;H$40,tblBrennsla[#All],MATCH(Úrgangur!$U$26,tblBrennsla[[#All],[Tímabil]],0),FALSE)</f>
        <v>4223.2562403685479</v>
      </c>
      <c r="I52" s="1062">
        <f>HLOOKUP(""&amp;I$40,tblBrennsla[#All],MATCH(Úrgangur!$U$26,tblBrennsla[[#All],[Tímabil]],0),FALSE)</f>
        <v>4849.2270887634477</v>
      </c>
      <c r="J52" s="1062">
        <f>HLOOKUP(""&amp;J$40,tblBrennsla[#All],MATCH(Úrgangur!$U$26,tblBrennsla[[#All],[Tímabil]],0),FALSE)</f>
        <v>4515.1752796091441</v>
      </c>
      <c r="K52" s="1062">
        <f>HLOOKUP(""&amp;K$40,tblBrennsla[#All],MATCH(Úrgangur!$U$26,tblBrennsla[[#All],[Tímabil]],0),FALSE)</f>
        <v>4427.4614233475868</v>
      </c>
      <c r="N52" s="32"/>
      <c r="O52" s="32"/>
      <c r="P52" s="32"/>
      <c r="Q52" s="32"/>
      <c r="R52" s="32"/>
      <c r="S52" s="33"/>
    </row>
    <row r="53" spans="1:19" ht="15" customHeight="1" x14ac:dyDescent="0.65">
      <c r="A53" s="56" t="s">
        <v>164</v>
      </c>
      <c r="B53" s="57" t="s">
        <v>4</v>
      </c>
      <c r="C53" s="56">
        <f>Fráveita!C26*0</f>
        <v>0</v>
      </c>
      <c r="D53" s="56">
        <f>Fráveita!D26*0</f>
        <v>0</v>
      </c>
      <c r="E53" s="56">
        <f>Fráveita!E26*0</f>
        <v>0</v>
      </c>
      <c r="F53" s="56">
        <f>Fráveita!F26*0</f>
        <v>0</v>
      </c>
      <c r="G53" s="56">
        <f>Fráveita!G26*0</f>
        <v>0</v>
      </c>
      <c r="H53" s="1062">
        <f>Fráveita!H26*0</f>
        <v>0</v>
      </c>
      <c r="I53" s="1062">
        <f>Fráveita!I26*0</f>
        <v>0</v>
      </c>
      <c r="J53" s="1062">
        <f>Fráveita!J26*0</f>
        <v>0</v>
      </c>
      <c r="K53" s="1062">
        <f>Fráveita!K26*0</f>
        <v>0</v>
      </c>
      <c r="M53" t="s">
        <v>1025</v>
      </c>
      <c r="N53" s="32"/>
      <c r="O53" s="32"/>
      <c r="P53" s="32"/>
      <c r="Q53" s="32"/>
      <c r="R53" s="32"/>
      <c r="S53" s="33"/>
    </row>
    <row r="54" spans="1:19" ht="15" customHeight="1" x14ac:dyDescent="0.65">
      <c r="A54" s="56" t="s">
        <v>165</v>
      </c>
      <c r="B54" s="57" t="s">
        <v>4</v>
      </c>
      <c r="C54" s="56">
        <f>Fráveita!C36</f>
        <v>1798.2858875904626</v>
      </c>
      <c r="D54" s="56">
        <f>Fráveita!D36</f>
        <v>1805.3701633812368</v>
      </c>
      <c r="E54" s="56">
        <f>Fráveita!E36</f>
        <v>1824.2464281485334</v>
      </c>
      <c r="F54" s="56">
        <f>Fráveita!F36</f>
        <v>1864.0273614351859</v>
      </c>
      <c r="G54" s="56">
        <f>Fráveita!G36</f>
        <v>1897.6171220756278</v>
      </c>
      <c r="H54" s="1062">
        <f>Fráveita!H36</f>
        <v>1915.6154210397945</v>
      </c>
      <c r="I54" s="1062">
        <f>Fráveita!I36</f>
        <v>1946.8134817337786</v>
      </c>
      <c r="J54" s="1062">
        <f>Fráveita!J36</f>
        <v>1977.5120101604648</v>
      </c>
      <c r="K54" s="1062">
        <f>Fráveita!K36</f>
        <v>2072.2112181670468</v>
      </c>
      <c r="N54" s="32"/>
      <c r="O54" s="32"/>
      <c r="P54" s="32"/>
      <c r="Q54" s="32"/>
      <c r="R54" s="32"/>
      <c r="S54" s="33"/>
    </row>
    <row r="55" spans="1:19" ht="15" customHeight="1" x14ac:dyDescent="0.65">
      <c r="A55" s="56" t="s">
        <v>166</v>
      </c>
      <c r="B55" s="57" t="s">
        <v>4</v>
      </c>
      <c r="C55" s="56">
        <f>Fráveita!C43</f>
        <v>1851.9774</v>
      </c>
      <c r="D55" s="56">
        <f>Fráveita!D43</f>
        <v>1719.354</v>
      </c>
      <c r="E55" s="56">
        <f>Fráveita!E43</f>
        <v>1544.3428000000001</v>
      </c>
      <c r="F55" s="56">
        <f>Fráveita!F43</f>
        <v>1692.7092000000002</v>
      </c>
      <c r="G55" s="56">
        <f>Fráveita!G43</f>
        <v>1335.5159999999998</v>
      </c>
      <c r="H55" s="1062">
        <f>Fráveita!H43</f>
        <v>1638.9077110664502</v>
      </c>
      <c r="I55" s="1062">
        <f>Fráveita!I43</f>
        <v>1644.8987429000899</v>
      </c>
      <c r="J55" s="1062">
        <f>Fráveita!J43</f>
        <v>1565.5114870485968</v>
      </c>
      <c r="K55" s="1062">
        <f>Fráveita!K43</f>
        <v>1534.687185034466</v>
      </c>
      <c r="N55" s="32"/>
      <c r="O55" s="32"/>
      <c r="P55" s="32"/>
      <c r="Q55" s="32"/>
      <c r="R55" s="32"/>
      <c r="S55" s="33"/>
    </row>
    <row r="56" spans="1:19" ht="15" customHeight="1" x14ac:dyDescent="0.65">
      <c r="A56" s="56" t="s">
        <v>167</v>
      </c>
      <c r="B56" s="57" t="s">
        <v>4</v>
      </c>
      <c r="C56" s="56">
        <f>SUM(C53:C55)</f>
        <v>3650.2632875904628</v>
      </c>
      <c r="D56" s="56">
        <f t="shared" ref="D56:G56" si="18">SUM(D53:D55)</f>
        <v>3524.7241633812368</v>
      </c>
      <c r="E56" s="56">
        <f t="shared" si="18"/>
        <v>3368.5892281485335</v>
      </c>
      <c r="F56" s="56">
        <f t="shared" si="18"/>
        <v>3556.7365614351861</v>
      </c>
      <c r="G56" s="56">
        <f t="shared" si="18"/>
        <v>3233.1331220756274</v>
      </c>
      <c r="H56" s="1062">
        <f>SUM(H53:H55)</f>
        <v>3554.5231321062447</v>
      </c>
      <c r="I56" s="1062">
        <f>SUM(I53:I55)</f>
        <v>3591.7122246338686</v>
      </c>
      <c r="J56" s="1062">
        <f>SUM(J53:J55)</f>
        <v>3543.0234972090616</v>
      </c>
      <c r="K56" s="1062">
        <f>SUM(K53:K55)</f>
        <v>3606.8984032015128</v>
      </c>
      <c r="N56" s="32"/>
      <c r="O56" s="32"/>
      <c r="P56" s="32"/>
      <c r="Q56" s="32"/>
      <c r="R56" s="32"/>
      <c r="S56" s="33"/>
    </row>
    <row r="57" spans="1:19" ht="15" customHeight="1" x14ac:dyDescent="0.65">
      <c r="A57" s="56" t="s">
        <v>168</v>
      </c>
      <c r="B57" s="57" t="s">
        <v>4</v>
      </c>
      <c r="C57" s="56">
        <f>C56+C52+C46+C43</f>
        <v>62115.315749303983</v>
      </c>
      <c r="D57" s="56">
        <f>D56+D52+D46+D43</f>
        <v>67280.512525744824</v>
      </c>
      <c r="E57" s="56">
        <f t="shared" ref="E57:G57" si="19">E56+E52+E46+E43</f>
        <v>67330.752409439214</v>
      </c>
      <c r="F57" s="56">
        <f t="shared" si="19"/>
        <v>67345.76638412477</v>
      </c>
      <c r="G57" s="56">
        <f t="shared" si="19"/>
        <v>53056.836599577196</v>
      </c>
      <c r="H57" s="1062">
        <f>H56+H52+H46+H43</f>
        <v>68790.606981015459</v>
      </c>
      <c r="I57" s="1062">
        <f>I56+I52+I46+I43</f>
        <v>71247.227357311916</v>
      </c>
      <c r="J57" s="1062">
        <f>J56+J52+J46+J43</f>
        <v>68297.683622416283</v>
      </c>
      <c r="K57" s="1062">
        <f>K56+K52+K46+K43+K49</f>
        <v>62797.278812701777</v>
      </c>
      <c r="N57" s="32"/>
      <c r="O57" s="32"/>
      <c r="P57" s="32"/>
      <c r="Q57" s="32"/>
      <c r="R57" s="32"/>
      <c r="S57" s="33"/>
    </row>
    <row r="58" spans="1:19" ht="15" customHeight="1" x14ac:dyDescent="0.65">
      <c r="A58" s="56"/>
      <c r="B58" s="56"/>
      <c r="C58" s="56"/>
      <c r="D58" s="56"/>
      <c r="E58" s="56"/>
      <c r="F58" s="56"/>
      <c r="G58" s="56"/>
      <c r="H58" s="57"/>
      <c r="I58" s="57"/>
      <c r="J58" s="57"/>
      <c r="K58" s="57"/>
      <c r="M58" s="40"/>
      <c r="N58" s="40"/>
      <c r="O58" s="33"/>
      <c r="P58" s="33"/>
      <c r="Q58" s="33"/>
      <c r="R58" s="33"/>
      <c r="S58" s="33"/>
    </row>
    <row r="59" spans="1:19" ht="24.75" customHeight="1" x14ac:dyDescent="0.6">
      <c r="A59" s="1055" t="s">
        <v>95</v>
      </c>
      <c r="B59" s="1056" t="s">
        <v>2</v>
      </c>
      <c r="C59" s="1057">
        <v>2015</v>
      </c>
      <c r="D59" s="1057">
        <v>2016</v>
      </c>
      <c r="E59" s="1057">
        <v>2017</v>
      </c>
      <c r="F59" s="1057">
        <v>2018</v>
      </c>
      <c r="G59" s="1057">
        <v>2019</v>
      </c>
      <c r="H59" s="1057">
        <v>2020</v>
      </c>
      <c r="I59" s="1057">
        <v>2021</v>
      </c>
      <c r="J59" s="1057">
        <v>2022</v>
      </c>
      <c r="K59" s="1057">
        <v>2023</v>
      </c>
    </row>
    <row r="60" spans="1:19" ht="15" customHeight="1" x14ac:dyDescent="0.65">
      <c r="A60" s="56" t="s">
        <v>169</v>
      </c>
      <c r="B60" s="57" t="s">
        <v>4</v>
      </c>
      <c r="C60" s="56"/>
      <c r="D60" s="56">
        <f>D61-D62</f>
        <v>45422</v>
      </c>
      <c r="E60" s="56">
        <f t="shared" ref="E60:G60" si="20">E61-E62</f>
        <v>45422</v>
      </c>
      <c r="F60" s="56">
        <f t="shared" si="20"/>
        <v>45422</v>
      </c>
      <c r="G60" s="56">
        <f t="shared" si="20"/>
        <v>45422</v>
      </c>
      <c r="H60" s="1062">
        <f>H61-H62</f>
        <v>45422</v>
      </c>
      <c r="I60" s="1062">
        <f>I61-I62</f>
        <v>45422</v>
      </c>
      <c r="J60" s="1062">
        <f>J61-J62</f>
        <v>45422</v>
      </c>
      <c r="K60" s="1062">
        <f>K61-K62</f>
        <v>45422</v>
      </c>
      <c r="L60" s="811"/>
      <c r="M60" s="727" t="s">
        <v>170</v>
      </c>
      <c r="O60" s="33"/>
      <c r="P60" s="33"/>
      <c r="Q60" s="33"/>
      <c r="R60" s="33"/>
      <c r="S60" s="33"/>
    </row>
    <row r="61" spans="1:19" ht="15" customHeight="1" x14ac:dyDescent="0.65">
      <c r="A61" s="56" t="s">
        <v>171</v>
      </c>
      <c r="B61" s="57" t="s">
        <v>4</v>
      </c>
      <c r="C61" s="56"/>
      <c r="D61" s="56">
        <f>'Landbúnaður og landnotkun'!$P$77</f>
        <v>56009</v>
      </c>
      <c r="E61" s="56">
        <f>'Landbúnaður og landnotkun'!$P$77</f>
        <v>56009</v>
      </c>
      <c r="F61" s="56">
        <f>'Landbúnaður og landnotkun'!$P$77</f>
        <v>56009</v>
      </c>
      <c r="G61" s="56">
        <f>'Landbúnaður og landnotkun'!$P$77</f>
        <v>56009</v>
      </c>
      <c r="H61" s="1062">
        <f>'Landbúnaður og landnotkun'!$P$77</f>
        <v>56009</v>
      </c>
      <c r="I61" s="1062">
        <f>'Landbúnaður og landnotkun'!$P$77</f>
        <v>56009</v>
      </c>
      <c r="J61" s="1062">
        <f>'Landbúnaður og landnotkun'!$P$77</f>
        <v>56009</v>
      </c>
      <c r="K61" s="1062">
        <f>'Landbúnaður og landnotkun'!$P$77</f>
        <v>56009</v>
      </c>
      <c r="L61" s="811"/>
      <c r="O61" s="33"/>
      <c r="P61" s="33"/>
      <c r="Q61" s="33"/>
      <c r="R61" s="33"/>
      <c r="S61" s="33"/>
    </row>
    <row r="62" spans="1:19" ht="15" customHeight="1" x14ac:dyDescent="0.65">
      <c r="A62" s="56" t="s">
        <v>172</v>
      </c>
      <c r="B62" s="57" t="s">
        <v>4</v>
      </c>
      <c r="C62" s="56"/>
      <c r="D62" s="56">
        <f>'Landbúnaður og landnotkun'!P78</f>
        <v>10587</v>
      </c>
      <c r="E62" s="56">
        <f>'Landbúnaður og landnotkun'!P78</f>
        <v>10587</v>
      </c>
      <c r="F62" s="56">
        <f>'Landbúnaður og landnotkun'!P78</f>
        <v>10587</v>
      </c>
      <c r="G62" s="56">
        <f>'Landbúnaður og landnotkun'!P78</f>
        <v>10587</v>
      </c>
      <c r="H62" s="1062">
        <f>'Landbúnaður og landnotkun'!P78</f>
        <v>10587</v>
      </c>
      <c r="I62" s="1062">
        <f>'Landbúnaður og landnotkun'!P78</f>
        <v>10587</v>
      </c>
      <c r="J62" s="1062">
        <f>'Landbúnaður og landnotkun'!$P$78</f>
        <v>10587</v>
      </c>
      <c r="K62" s="1062">
        <f>'Landbúnaður og landnotkun'!$P$78</f>
        <v>10587</v>
      </c>
      <c r="L62" s="811"/>
      <c r="O62" s="33"/>
      <c r="P62" s="33"/>
      <c r="Q62" s="33"/>
      <c r="R62" s="33"/>
      <c r="S62" s="33"/>
    </row>
    <row r="63" spans="1:19" ht="15" customHeight="1" x14ac:dyDescent="0.65">
      <c r="A63" s="56" t="s">
        <v>173</v>
      </c>
      <c r="B63" s="57" t="s">
        <v>4</v>
      </c>
      <c r="C63" s="56"/>
      <c r="D63" s="56">
        <f>INDEX('Landbúnaður og landnotkun'!$B$8:$G$93,MATCH(D59,'Landbúnaður og landnotkun'!$B$8:$B$93,0),MATCH("Losun",'Landbúnaður og landnotkun'!$B$8:$G$8,0))</f>
        <v>1829.6519397420795</v>
      </c>
      <c r="E63" s="56">
        <f>INDEX('Landbúnaður og landnotkun'!$B$8:$G$93,MATCH(E59,'Landbúnaður og landnotkun'!$B$8:$B$93,0),MATCH("Losun",'Landbúnaður og landnotkun'!$B$8:$G$8,0))</f>
        <v>2245.4398830453683</v>
      </c>
      <c r="F63" s="56">
        <f>INDEX('Landbúnaður og landnotkun'!$B$8:$G$93,MATCH(F59,'Landbúnaður og landnotkun'!$B$8:$B$93,0),MATCH("Losun",'Landbúnaður og landnotkun'!$B$8:$G$8,0))</f>
        <v>1691.624489923749</v>
      </c>
      <c r="G63" s="56">
        <f>INDEX('Landbúnaður og landnotkun'!$B$8:$G$93,MATCH(G59,'Landbúnaður og landnotkun'!$B$8:$B$93,0),MATCH("Losun",'Landbúnaður og landnotkun'!$B$8:$G$8,0))</f>
        <v>1710.0061987558634</v>
      </c>
      <c r="H63" s="1062">
        <f>INDEX('Landbúnaður og landnotkun'!$B$8:$G$93,MATCH(H59,'Landbúnaður og landnotkun'!$B$8:$B$93,0),MATCH("Losun",'Landbúnaður og landnotkun'!$B$8:$G$8,0))</f>
        <v>2652.4245259230693</v>
      </c>
      <c r="I63" s="1062">
        <f>INDEX('Landbúnaður og landnotkun'!$B$8:$G$930,MATCH(I59,'Landbúnaður og landnotkun'!$B$8:$B$930,0),MATCH("Losun",'Landbúnaður og landnotkun'!$B$8:$G$8,0))</f>
        <v>2654.0703045108339</v>
      </c>
      <c r="J63" s="1062">
        <f>INDEX('Landbúnaður og landnotkun'!$B$8:$G$930,MATCH(J59,'Landbúnaður og landnotkun'!$B$8:$B$930,0),MATCH("Losun",'Landbúnaður og landnotkun'!$B$8:$G$8,0))</f>
        <v>2565.3120470227268</v>
      </c>
      <c r="K63" s="1062">
        <f>INDEX('Landbúnaður og landnotkun'!$B$8:$G$930,MATCH(K59,'Landbúnaður og landnotkun'!$B$8:$B$930,0),MATCH("Losun",'Landbúnaður og landnotkun'!$B$8:$G$8,0))</f>
        <v>2225.7389972815336</v>
      </c>
      <c r="O63" s="33"/>
      <c r="P63" s="33"/>
      <c r="Q63" s="33"/>
      <c r="R63" s="33"/>
      <c r="S63" s="33"/>
    </row>
    <row r="64" spans="1:19" ht="15" customHeight="1" x14ac:dyDescent="0.65">
      <c r="A64" s="56" t="s">
        <v>174</v>
      </c>
      <c r="B64" s="57" t="s">
        <v>4</v>
      </c>
      <c r="C64" s="56"/>
      <c r="D64" s="56">
        <f>'Landbúnaður og landnotkun'!G13</f>
        <v>133.76218466040802</v>
      </c>
      <c r="E64" s="56">
        <f>'Landbúnaður og landnotkun'!G30</f>
        <v>138.40119799136124</v>
      </c>
      <c r="F64" s="56">
        <f>'Landbúnaður og landnotkun'!G47</f>
        <v>106.19713567430057</v>
      </c>
      <c r="G64" s="56">
        <f>'Landbúnaður og landnotkun'!G64</f>
        <v>63.482771036872585</v>
      </c>
      <c r="H64" s="1062">
        <f>'Landbúnaður og landnotkun'!G81</f>
        <v>104.86226016734406</v>
      </c>
      <c r="I64" s="1062">
        <f>'Landbúnaður og landnotkun'!G98</f>
        <v>104.86226016734406</v>
      </c>
      <c r="J64" s="1062">
        <f>'Landbúnaður og landnotkun'!G115</f>
        <v>106.26885947784511</v>
      </c>
      <c r="K64" s="1062">
        <f>'Landbúnaður og landnotkun'!G132</f>
        <v>45.929693219612986</v>
      </c>
      <c r="L64" s="811"/>
      <c r="O64" s="33"/>
      <c r="P64" s="33"/>
      <c r="Q64" s="33"/>
      <c r="R64" s="33"/>
      <c r="S64" s="33"/>
    </row>
    <row r="65" spans="1:19" ht="15" customHeight="1" x14ac:dyDescent="0.65">
      <c r="A65" s="56" t="s">
        <v>175</v>
      </c>
      <c r="B65" s="57" t="s">
        <v>4</v>
      </c>
      <c r="C65" s="56"/>
      <c r="D65" s="56">
        <f>'Landbúnaður og landnotkun'!G17</f>
        <v>272.82220287113824</v>
      </c>
      <c r="E65" s="56">
        <f>'Landbúnaður og landnotkun'!G34</f>
        <v>261.98564313173353</v>
      </c>
      <c r="F65" s="56">
        <f>'Landbúnaður og landnotkun'!G51</f>
        <v>285.13553680648994</v>
      </c>
      <c r="G65" s="56">
        <f>'Landbúnaður og landnotkun'!G68</f>
        <v>288.0121654312245</v>
      </c>
      <c r="H65" s="1062">
        <f>'Landbúnaður og landnotkun'!G85</f>
        <v>281.8934473198733</v>
      </c>
      <c r="I65" s="1062">
        <f>'Landbúnaður og landnotkun'!G102</f>
        <v>281.8934473198733</v>
      </c>
      <c r="J65" s="1062">
        <f>'Landbúnaður og landnotkun'!G119</f>
        <v>286.20143591002079</v>
      </c>
      <c r="K65" s="1062">
        <f>'Landbúnaður og landnotkun'!G136</f>
        <v>194.17071551006521</v>
      </c>
      <c r="O65" s="33"/>
      <c r="P65" s="33"/>
      <c r="Q65" s="33"/>
      <c r="R65" s="33"/>
      <c r="S65" s="33"/>
    </row>
    <row r="66" spans="1:19" ht="15" customHeight="1" x14ac:dyDescent="0.65">
      <c r="A66" s="56" t="s">
        <v>176</v>
      </c>
      <c r="B66" s="57" t="s">
        <v>4</v>
      </c>
      <c r="C66" s="56"/>
      <c r="D66" s="56">
        <f>'Landbúnaður og landnotkun'!G21</f>
        <v>641.3177322400586</v>
      </c>
      <c r="E66" s="56">
        <f>'Landbúnaður og landnotkun'!G38</f>
        <v>1039.9697248739558</v>
      </c>
      <c r="F66" s="56">
        <f>'Landbúnaður og landnotkun'!G55</f>
        <v>576.69458039937297</v>
      </c>
      <c r="G66" s="56">
        <f>'Landbúnaður og landnotkun'!G72</f>
        <v>678.98959248644951</v>
      </c>
      <c r="H66" s="1062">
        <f>'Landbúnaður og landnotkun'!H89</f>
        <v>1595.7745501909105</v>
      </c>
      <c r="I66" s="1062">
        <f>'Landbúnaður og landnotkun'!H106</f>
        <v>1595.7745501909105</v>
      </c>
      <c r="J66" s="1062">
        <f>'Landbúnaður og landnotkun'!G123</f>
        <v>1603.6047468395982</v>
      </c>
      <c r="K66" s="1062">
        <f>'Landbúnaður og landnotkun'!G140</f>
        <v>1389.7540139053465</v>
      </c>
      <c r="O66" s="33"/>
      <c r="P66" s="33"/>
      <c r="Q66" s="33"/>
      <c r="R66" s="33"/>
      <c r="S66" s="33"/>
    </row>
    <row r="67" spans="1:19" ht="15" customHeight="1" x14ac:dyDescent="0.65">
      <c r="A67" s="56" t="s">
        <v>177</v>
      </c>
      <c r="B67" s="57" t="s">
        <v>4</v>
      </c>
      <c r="C67" s="56"/>
      <c r="D67" s="56">
        <f>'Landbúnaður og landnotkun'!G22</f>
        <v>390.35348729421258</v>
      </c>
      <c r="E67" s="56">
        <f>'Landbúnaður og landnotkun'!G39</f>
        <v>383.10406538732002</v>
      </c>
      <c r="F67" s="56">
        <f>'Landbúnaður og landnotkun'!G56</f>
        <v>263.76742784308937</v>
      </c>
      <c r="G67" s="56">
        <f>'Landbúnaður og landnotkun'!G73</f>
        <v>230.86620534257719</v>
      </c>
      <c r="H67" s="1062">
        <f>'Landbúnaður og landnotkun'!G90</f>
        <v>258.74859729216377</v>
      </c>
      <c r="I67" s="1062">
        <f>'Landbúnaður og landnotkun'!G107</f>
        <v>258.74859729216377</v>
      </c>
      <c r="J67" s="1062">
        <f>'Landbúnaður og landnotkun'!G124</f>
        <v>174.54377360441219</v>
      </c>
      <c r="K67" s="1062">
        <f>'Landbúnaður og landnotkun'!G141</f>
        <v>152.23786004474289</v>
      </c>
      <c r="O67" s="33"/>
      <c r="P67" s="33"/>
      <c r="Q67" s="33"/>
      <c r="R67" s="33"/>
      <c r="S67" s="33"/>
    </row>
    <row r="68" spans="1:19" ht="15" customHeight="1" x14ac:dyDescent="0.65">
      <c r="A68" s="56" t="s">
        <v>178</v>
      </c>
      <c r="B68" s="57" t="s">
        <v>4</v>
      </c>
      <c r="C68" s="56"/>
      <c r="D68" s="56">
        <f>'Landbúnaður og landnotkun'!G23</f>
        <v>5.4859286258819999</v>
      </c>
      <c r="E68" s="56">
        <f>'Landbúnaður og landnotkun'!G40</f>
        <v>5.4859286258819999</v>
      </c>
      <c r="F68" s="56">
        <f>'Landbúnaður og landnotkun'!G57</f>
        <v>6.5831143510584003</v>
      </c>
      <c r="G68" s="56">
        <f>'Landbúnaður og landnotkun'!G74</f>
        <v>1.4629143002352001</v>
      </c>
      <c r="H68" s="1062">
        <f>'Landbúnaður og landnotkun'!G91</f>
        <v>6.5831143510584003</v>
      </c>
      <c r="I68" s="1062">
        <f>'Landbúnaður og landnotkun'!G108</f>
        <v>8.2288929388229999</v>
      </c>
      <c r="J68" s="1062">
        <f>'Landbúnaður og landnotkun'!G125</f>
        <v>8.9603500889406007</v>
      </c>
      <c r="K68" s="1062">
        <f>'Landbúnaður og landnotkun'!G142</f>
        <v>8.9603500889406007</v>
      </c>
      <c r="O68" s="33"/>
      <c r="P68" s="33"/>
      <c r="Q68" s="33"/>
      <c r="R68" s="33"/>
      <c r="S68" s="33"/>
    </row>
    <row r="69" spans="1:19" ht="15" customHeight="1" x14ac:dyDescent="0.65">
      <c r="A69" s="56" t="s">
        <v>179</v>
      </c>
      <c r="B69" s="57" t="s">
        <v>4</v>
      </c>
      <c r="C69" s="56"/>
      <c r="D69" s="56">
        <f>'Landbúnaður og landnotkun'!G24</f>
        <v>385.91040405038024</v>
      </c>
      <c r="E69" s="56">
        <f>'Landbúnaður og landnotkun'!G41</f>
        <v>416.49332303511585</v>
      </c>
      <c r="F69" s="56">
        <f>'Landbúnaður og landnotkun'!G58</f>
        <v>453.24669484943774</v>
      </c>
      <c r="G69" s="56">
        <f>'Landbúnaður og landnotkun'!G75</f>
        <v>447.19255015850422</v>
      </c>
      <c r="H69" s="1062">
        <f>'Landbúnaður og landnotkun'!G92</f>
        <v>404.56255660171917</v>
      </c>
      <c r="I69" s="1062">
        <f>'Landbúnaður og landnotkun'!G109</f>
        <v>404.56255660171917</v>
      </c>
      <c r="J69" s="1062">
        <f>'Landbúnaður og landnotkun'!G126</f>
        <v>385.73288110190998</v>
      </c>
      <c r="K69" s="1062">
        <f>'Landbúnaður og landnotkun'!G143</f>
        <v>434.68636451282481</v>
      </c>
      <c r="O69" s="33"/>
      <c r="P69" s="33"/>
      <c r="Q69" s="33"/>
      <c r="R69" s="33"/>
      <c r="S69" s="33"/>
    </row>
    <row r="70" spans="1:19" ht="13.5" customHeight="1" x14ac:dyDescent="0.6">
      <c r="A70" s="1"/>
      <c r="B70" s="2"/>
      <c r="C70" s="3"/>
      <c r="D70" s="29">
        <f t="shared" ref="D70:G70" si="21">SUM(D64:D69)</f>
        <v>1829.6519397420798</v>
      </c>
      <c r="E70" s="29">
        <f t="shared" si="21"/>
        <v>2245.4398830453683</v>
      </c>
      <c r="F70" s="29">
        <f t="shared" si="21"/>
        <v>1691.624489923749</v>
      </c>
      <c r="G70" s="29">
        <f t="shared" si="21"/>
        <v>1710.0061987558631</v>
      </c>
      <c r="H70" s="29">
        <f>SUM(H64:H69)</f>
        <v>2652.4245259230693</v>
      </c>
      <c r="I70" s="29">
        <f>SUM(I64:I69)</f>
        <v>2654.0703045108335</v>
      </c>
      <c r="J70" s="29">
        <f>SUM(J64:J69)</f>
        <v>2565.3120470227273</v>
      </c>
      <c r="K70" s="29">
        <f>SUM(K64:K69)</f>
        <v>2225.7389972815326</v>
      </c>
    </row>
    <row r="71" spans="1:19" x14ac:dyDescent="0.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</row>
    <row r="72" spans="1:19" ht="22.5" customHeight="1" x14ac:dyDescent="0.6">
      <c r="A72" s="6" t="s">
        <v>25</v>
      </c>
      <c r="B72" s="4" t="s">
        <v>2</v>
      </c>
      <c r="C72" s="5">
        <v>2015</v>
      </c>
      <c r="D72" s="5">
        <v>2016</v>
      </c>
      <c r="E72" s="5">
        <v>2017</v>
      </c>
      <c r="F72" s="5">
        <v>2018</v>
      </c>
      <c r="G72" s="5">
        <v>2019</v>
      </c>
      <c r="H72" s="5">
        <v>2020</v>
      </c>
      <c r="I72" s="5">
        <v>2021</v>
      </c>
      <c r="J72" s="5">
        <v>2022</v>
      </c>
      <c r="K72" s="5">
        <v>2023</v>
      </c>
    </row>
    <row r="73" spans="1:19" ht="22.5" customHeight="1" x14ac:dyDescent="0.6">
      <c r="A73" s="14" t="s">
        <v>180</v>
      </c>
      <c r="B73" s="15" t="s">
        <v>181</v>
      </c>
      <c r="C73" s="697">
        <f>C78+C80</f>
        <v>33355.410780096456</v>
      </c>
      <c r="D73" s="697">
        <f t="shared" ref="D73:G73" si="22">D78+D80</f>
        <v>37645.368075903476</v>
      </c>
      <c r="E73" s="697">
        <f>E78+E80</f>
        <v>24308.962169130959</v>
      </c>
      <c r="F73" s="697">
        <f t="shared" si="22"/>
        <v>36644.15436023361</v>
      </c>
      <c r="G73" s="697">
        <f t="shared" si="22"/>
        <v>36510.292011647638</v>
      </c>
      <c r="H73" s="697">
        <f>H78+H80</f>
        <v>35490.711705618516</v>
      </c>
      <c r="I73" s="697">
        <f>I78+I80</f>
        <v>40346.004192041262</v>
      </c>
      <c r="J73" s="697">
        <f>J78+J80</f>
        <v>33670.778603901708</v>
      </c>
      <c r="K73" s="697">
        <f>K78+K80</f>
        <v>36531.777942501176</v>
      </c>
    </row>
    <row r="74" spans="1:19" ht="22.5" customHeight="1" x14ac:dyDescent="0.6">
      <c r="A74" s="13" t="s">
        <v>182</v>
      </c>
      <c r="B74" s="16" t="s">
        <v>181</v>
      </c>
      <c r="C74" s="1069">
        <v>179661.59605094156</v>
      </c>
      <c r="D74" s="1069">
        <v>203881.36109193339</v>
      </c>
      <c r="E74" s="1069">
        <v>188905.0661273349</v>
      </c>
      <c r="F74" s="1069">
        <v>190357.388354289</v>
      </c>
      <c r="G74" s="1069">
        <v>201720.60511688699</v>
      </c>
      <c r="H74" s="24">
        <v>196827.241573618</v>
      </c>
      <c r="I74" s="24">
        <f>61891+45820+32610+15320+930+820+10</f>
        <v>157401</v>
      </c>
      <c r="J74" s="24">
        <v>133000</v>
      </c>
      <c r="K74" s="24"/>
      <c r="L74" s="811"/>
    </row>
    <row r="75" spans="1:19" ht="22.5" customHeight="1" x14ac:dyDescent="0.6">
      <c r="A75" s="13" t="s">
        <v>183</v>
      </c>
      <c r="B75" s="16" t="s">
        <v>184</v>
      </c>
      <c r="C75" s="19">
        <v>0.5</v>
      </c>
      <c r="D75" s="19">
        <v>0.5</v>
      </c>
      <c r="E75" s="19">
        <v>0.65</v>
      </c>
      <c r="F75" s="19">
        <v>0.47</v>
      </c>
      <c r="G75" s="19">
        <v>0.5</v>
      </c>
      <c r="H75" s="785">
        <v>0.5</v>
      </c>
      <c r="I75" s="844">
        <f>(45820)/I74</f>
        <v>0.29110361433536003</v>
      </c>
      <c r="J75" s="844">
        <v>0.3</v>
      </c>
      <c r="K75" s="24"/>
    </row>
    <row r="76" spans="1:19" ht="22.5" customHeight="1" x14ac:dyDescent="0.6">
      <c r="A76" s="20" t="s">
        <v>185</v>
      </c>
      <c r="B76" s="21" t="s">
        <v>181</v>
      </c>
      <c r="C76" s="18">
        <f t="shared" ref="C76:G76" si="23">C75*C74</f>
        <v>89830.79802547078</v>
      </c>
      <c r="D76" s="18">
        <f t="shared" si="23"/>
        <v>101940.68054596669</v>
      </c>
      <c r="E76" s="18">
        <f t="shared" si="23"/>
        <v>122788.29298276769</v>
      </c>
      <c r="F76" s="18">
        <f t="shared" si="23"/>
        <v>89467.972526515819</v>
      </c>
      <c r="G76" s="18">
        <f t="shared" si="23"/>
        <v>100860.30255844349</v>
      </c>
      <c r="H76" s="18">
        <f>H75*H74</f>
        <v>98413.620786808999</v>
      </c>
      <c r="I76" s="18">
        <f>I75*I74</f>
        <v>45820.000000000007</v>
      </c>
      <c r="J76" s="18">
        <f>J75*J74</f>
        <v>39900</v>
      </c>
      <c r="K76" s="22"/>
    </row>
    <row r="77" spans="1:19" ht="22.5" customHeight="1" x14ac:dyDescent="0.6">
      <c r="A77" s="1" t="s">
        <v>186</v>
      </c>
      <c r="B77" s="21" t="s">
        <v>181</v>
      </c>
      <c r="C77" s="18">
        <f>C74-C76</f>
        <v>89830.79802547078</v>
      </c>
      <c r="D77" s="18">
        <f>D74-D76</f>
        <v>101940.68054596669</v>
      </c>
      <c r="E77" s="18">
        <f>E74-E76</f>
        <v>66116.773144567211</v>
      </c>
      <c r="F77" s="18">
        <f t="shared" ref="F77" si="24">F74-F76</f>
        <v>100889.41582777318</v>
      </c>
      <c r="G77" s="18">
        <f>G74-G76</f>
        <v>100860.30255844349</v>
      </c>
      <c r="H77" s="18">
        <f>H74-H76</f>
        <v>98413.620786808999</v>
      </c>
      <c r="I77" s="18">
        <f>I74-I76</f>
        <v>111581</v>
      </c>
      <c r="J77" s="18">
        <f>J74-J76</f>
        <v>93100</v>
      </c>
      <c r="K77" s="22"/>
    </row>
    <row r="78" spans="1:19" ht="22.5" customHeight="1" x14ac:dyDescent="0.6">
      <c r="A78" s="1" t="s">
        <v>187</v>
      </c>
      <c r="B78" s="21" t="s">
        <v>181</v>
      </c>
      <c r="C78" s="18">
        <f t="shared" ref="C78:G78" si="25">C77*C9</f>
        <v>33036.923398353923</v>
      </c>
      <c r="D78" s="18">
        <f t="shared" si="25"/>
        <v>37290.536032816206</v>
      </c>
      <c r="E78" s="18">
        <f t="shared" si="25"/>
        <v>23963.196810807676</v>
      </c>
      <c r="F78" s="18">
        <f t="shared" si="25"/>
        <v>36306.957255175788</v>
      </c>
      <c r="G78" s="18">
        <f t="shared" si="25"/>
        <v>36180.272667959514</v>
      </c>
      <c r="H78" s="18">
        <f>H77*H9</f>
        <v>35177.027858135167</v>
      </c>
      <c r="I78" s="18">
        <f>I77*I9</f>
        <v>40051.667634203928</v>
      </c>
      <c r="J78" s="18">
        <f>J77*J9</f>
        <v>33329.216780802206</v>
      </c>
      <c r="K78" s="694">
        <f>AVERAGE(F78:J78)</f>
        <v>36209.028439255322</v>
      </c>
    </row>
    <row r="79" spans="1:19" ht="22.5" customHeight="1" x14ac:dyDescent="0.6">
      <c r="A79" s="1" t="s">
        <v>188</v>
      </c>
      <c r="B79" s="2" t="s">
        <v>189</v>
      </c>
      <c r="C79" s="696">
        <v>0.86599999999999999</v>
      </c>
      <c r="D79" s="696">
        <v>0.97</v>
      </c>
      <c r="E79" s="696">
        <v>0.95399999999999996</v>
      </c>
      <c r="F79" s="696">
        <v>0.93700000000000006</v>
      </c>
      <c r="G79" s="696">
        <v>0.92</v>
      </c>
      <c r="H79" s="696">
        <v>0.87758304475500004</v>
      </c>
      <c r="I79" s="696">
        <v>0.82</v>
      </c>
      <c r="J79" s="696">
        <v>0.95409999999999995</v>
      </c>
      <c r="K79" s="696">
        <f>AVERAGE(F79:J79)</f>
        <v>0.90173660895100005</v>
      </c>
    </row>
    <row r="80" spans="1:19" ht="22.5" customHeight="1" x14ac:dyDescent="0.6">
      <c r="A80" s="1" t="s">
        <v>190</v>
      </c>
      <c r="B80" s="2" t="s">
        <v>181</v>
      </c>
      <c r="C80" s="425">
        <f t="shared" ref="C80:F80" si="26">C79*C$9*1000</f>
        <v>318.48738174253305</v>
      </c>
      <c r="D80" s="425">
        <f t="shared" si="26"/>
        <v>354.83204308726647</v>
      </c>
      <c r="E80" s="425">
        <f t="shared" si="26"/>
        <v>345.76535832328341</v>
      </c>
      <c r="F80" s="425">
        <f t="shared" si="26"/>
        <v>337.1971050578199</v>
      </c>
      <c r="G80" s="425">
        <f>G79*G$9*1000</f>
        <v>330.01934368812022</v>
      </c>
      <c r="H80" s="425">
        <f>H79*H$9*1000</f>
        <v>313.6838474833508</v>
      </c>
      <c r="I80" s="425">
        <f>I79*I$9*1000</f>
        <v>294.33655783733093</v>
      </c>
      <c r="J80" s="425">
        <f>J79*J$9*1000</f>
        <v>341.56182309949929</v>
      </c>
      <c r="K80" s="425">
        <f>K79*K$9*1000</f>
        <v>322.74950324585012</v>
      </c>
    </row>
    <row r="81" spans="1:13" ht="22.5" customHeight="1" x14ac:dyDescent="0.6">
      <c r="A81" s="698" t="s">
        <v>191</v>
      </c>
      <c r="B81" s="699" t="s">
        <v>181</v>
      </c>
      <c r="C81" s="700">
        <f>C82+C83</f>
        <v>1891</v>
      </c>
      <c r="D81" s="700">
        <f t="shared" ref="D81:F81" si="27">D82+D83</f>
        <v>1906</v>
      </c>
      <c r="E81" s="700">
        <f t="shared" si="27"/>
        <v>1973</v>
      </c>
      <c r="F81" s="700">
        <f t="shared" si="27"/>
        <v>2112</v>
      </c>
      <c r="G81" s="700">
        <f>G82+G83</f>
        <v>1149</v>
      </c>
      <c r="H81" s="700">
        <f>H82+H83</f>
        <v>1184</v>
      </c>
      <c r="I81" s="700">
        <f>I82+I83</f>
        <v>431</v>
      </c>
      <c r="J81" s="700">
        <f>J82+J83</f>
        <v>631</v>
      </c>
      <c r="K81" s="700">
        <f>K82+K83</f>
        <v>450</v>
      </c>
    </row>
    <row r="82" spans="1:13" ht="22.5" customHeight="1" x14ac:dyDescent="0.6">
      <c r="A82" s="1" t="s">
        <v>192</v>
      </c>
      <c r="B82" s="2" t="s">
        <v>181</v>
      </c>
      <c r="C82" s="18">
        <v>1598</v>
      </c>
      <c r="D82" s="18">
        <v>1520</v>
      </c>
      <c r="E82" s="18">
        <v>1630</v>
      </c>
      <c r="F82" s="18">
        <v>1816</v>
      </c>
      <c r="G82" s="18">
        <v>981</v>
      </c>
      <c r="H82" s="425">
        <v>1000</v>
      </c>
      <c r="I82" s="425">
        <v>409</v>
      </c>
      <c r="J82" s="425">
        <v>533</v>
      </c>
      <c r="K82" s="999">
        <v>400</v>
      </c>
      <c r="L82" s="811"/>
    </row>
    <row r="83" spans="1:13" ht="22.5" customHeight="1" x14ac:dyDescent="0.6">
      <c r="A83" s="1" t="s">
        <v>193</v>
      </c>
      <c r="B83" s="2" t="s">
        <v>181</v>
      </c>
      <c r="C83" s="3">
        <f>258+35</f>
        <v>293</v>
      </c>
      <c r="D83" s="425">
        <f>298+88</f>
        <v>386</v>
      </c>
      <c r="E83" s="425">
        <f>283+60</f>
        <v>343</v>
      </c>
      <c r="F83" s="425">
        <f>233+63</f>
        <v>296</v>
      </c>
      <c r="G83" s="425">
        <f>141+27</f>
        <v>168</v>
      </c>
      <c r="H83" s="57">
        <f>175+9</f>
        <v>184</v>
      </c>
      <c r="I83" s="57">
        <f>14+8</f>
        <v>22</v>
      </c>
      <c r="J83" s="57">
        <f>16+82</f>
        <v>98</v>
      </c>
      <c r="K83" s="1070">
        <v>50</v>
      </c>
      <c r="L83" s="811"/>
    </row>
    <row r="84" spans="1:13" ht="22.5" customHeight="1" x14ac:dyDescent="0.6">
      <c r="A84" s="698" t="s">
        <v>194</v>
      </c>
      <c r="B84" s="699" t="s">
        <v>181</v>
      </c>
      <c r="C84" s="701">
        <f t="shared" ref="C84:G84" si="28">C88+C90+C92+C94</f>
        <v>3689.6360941186681</v>
      </c>
      <c r="D84" s="701">
        <f t="shared" si="28"/>
        <v>3763.5515067900023</v>
      </c>
      <c r="E84" s="701">
        <f t="shared" si="28"/>
        <v>3811.4648323477686</v>
      </c>
      <c r="F84" s="701">
        <f>F88+F90+F92+F94</f>
        <v>4188.8321547084288</v>
      </c>
      <c r="G84" s="701">
        <f t="shared" si="28"/>
        <v>4025.3280693076035</v>
      </c>
      <c r="H84" s="701">
        <f>H88+H90+H92+H94</f>
        <v>3842.9833591019683</v>
      </c>
      <c r="I84" s="701">
        <f>I88+I90+I92+I94</f>
        <v>3979.3309316641198</v>
      </c>
      <c r="J84" s="701">
        <f>J88+J90+J92+J94</f>
        <v>3523.2333330986276</v>
      </c>
      <c r="K84" s="701">
        <f>K88+K90+K92+K94</f>
        <v>3902.5511405992511</v>
      </c>
    </row>
    <row r="85" spans="1:13" ht="22.5" customHeight="1" x14ac:dyDescent="0.6">
      <c r="A85" s="1" t="s">
        <v>195</v>
      </c>
      <c r="B85" s="2" t="s">
        <v>152</v>
      </c>
      <c r="C85" s="425">
        <f>0.93*1000*C$9</f>
        <v>342.02455545098815</v>
      </c>
      <c r="D85" s="425">
        <f>0.96*1000*D$9</f>
        <v>351.17398078739774</v>
      </c>
      <c r="E85" s="425">
        <f>1.38*1000*E$9</f>
        <v>500.16372587644776</v>
      </c>
      <c r="F85" s="425">
        <f>1.58*1000*F$9</f>
        <v>568.59277053506457</v>
      </c>
      <c r="G85" s="425">
        <f>1.14*1000*G$9</f>
        <v>408.93701283093156</v>
      </c>
      <c r="H85" s="425">
        <f>1.1*1000*H$9</f>
        <v>393.18470689918144</v>
      </c>
      <c r="I85" s="425">
        <f>1.06*1000*I$9</f>
        <v>380.48384305801318</v>
      </c>
      <c r="J85" s="425">
        <f>1*1000*J$9</f>
        <v>357.99373556178529</v>
      </c>
      <c r="K85" s="425">
        <f>AVERAGE(E85:J85)</f>
        <v>434.89263246023728</v>
      </c>
      <c r="M85" s="25" t="s">
        <v>196</v>
      </c>
    </row>
    <row r="86" spans="1:13" ht="22.5" customHeight="1" x14ac:dyDescent="0.6">
      <c r="A86" s="1" t="s">
        <v>197</v>
      </c>
      <c r="B86" s="2" t="s">
        <v>152</v>
      </c>
      <c r="C86" s="425">
        <f>0.371*1000*C$9</f>
        <v>136.44205384120065</v>
      </c>
      <c r="D86" s="425">
        <f>0.4*1000*D$9</f>
        <v>146.32249199474904</v>
      </c>
      <c r="E86" s="425">
        <f>0.12*1000*E$9</f>
        <v>43.492497902299803</v>
      </c>
      <c r="F86" s="425">
        <f>0.081*1000*F$9</f>
        <v>29.149376210974829</v>
      </c>
      <c r="G86" s="425">
        <f>0.59*1000*G$9</f>
        <v>211.64283997390316</v>
      </c>
      <c r="H86" s="425">
        <f>0.411*1000*H$9</f>
        <v>146.90810412323961</v>
      </c>
      <c r="I86" s="425">
        <f>0.458*1000*I$9</f>
        <v>164.3977359628019</v>
      </c>
      <c r="J86" s="425">
        <f>0.12*1000*J$9</f>
        <v>42.959248267414232</v>
      </c>
      <c r="K86" s="425">
        <f>AVERAGE(E86:J86)</f>
        <v>106.42496707343891</v>
      </c>
    </row>
    <row r="87" spans="1:13" ht="22.5" customHeight="1" x14ac:dyDescent="0.6">
      <c r="A87" s="1" t="s">
        <v>198</v>
      </c>
      <c r="B87" s="2" t="s">
        <v>199</v>
      </c>
      <c r="C87" s="425">
        <f>(C85+C86)*47.3/1000</f>
        <v>22.631470619520524</v>
      </c>
      <c r="D87" s="425">
        <f t="shared" ref="D87:H87" si="29">(D85+D86)*47.3/1000</f>
        <v>23.531583162595538</v>
      </c>
      <c r="E87" s="425">
        <f t="shared" si="29"/>
        <v>25.714939384734755</v>
      </c>
      <c r="F87" s="425">
        <f t="shared" si="29"/>
        <v>28.273203541087664</v>
      </c>
      <c r="G87" s="425">
        <f>(G85+G86)*47.3/1000</f>
        <v>29.353427037668681</v>
      </c>
      <c r="H87" s="425">
        <f t="shared" si="29"/>
        <v>25.546389961360514</v>
      </c>
      <c r="I87" s="425">
        <f>(I85+I86)*47.3/1000</f>
        <v>25.772898687684549</v>
      </c>
      <c r="J87" s="425">
        <f>(J85+J86)*47.3/1000</f>
        <v>18.965076135121137</v>
      </c>
      <c r="K87" s="425">
        <f>(K85+K86)*47.3/1000</f>
        <v>25.604322457942882</v>
      </c>
    </row>
    <row r="88" spans="1:13" ht="22.5" customHeight="1" x14ac:dyDescent="0.6">
      <c r="A88" s="1" t="s">
        <v>200</v>
      </c>
      <c r="B88" s="2" t="s">
        <v>181</v>
      </c>
      <c r="C88" s="425">
        <f>C87*(63100+5*28+0.1*265)/1000</f>
        <v>1431.8139359498953</v>
      </c>
      <c r="D88" s="425">
        <f t="shared" ref="D88:H88" si="30">D87*(63100+5*28+0.1*265)/1000</f>
        <v>1488.7609061563505</v>
      </c>
      <c r="E88" s="425">
        <f t="shared" si="30"/>
        <v>1626.8942125843214</v>
      </c>
      <c r="F88" s="425">
        <f t="shared" si="30"/>
        <v>1788.7466318322226</v>
      </c>
      <c r="G88" s="425">
        <f>G87*(63100+5*28+0.1*265)/1000</f>
        <v>1857.0885916786656</v>
      </c>
      <c r="H88" s="425">
        <f t="shared" si="30"/>
        <v>1616.2306804904151</v>
      </c>
      <c r="I88" s="425">
        <f>I87*(63100+5*28+0.1*265)/1000</f>
        <v>1630.5610948243943</v>
      </c>
      <c r="J88" s="425">
        <f>J87*(63100+5*28+0.1*265)/1000</f>
        <v>1199.8539893026414</v>
      </c>
      <c r="K88" s="425">
        <f>K87*(63100+5*29.6+0.1*273)/1000</f>
        <v>1620.1211848230732</v>
      </c>
    </row>
    <row r="89" spans="1:13" ht="22.5" customHeight="1" x14ac:dyDescent="0.6">
      <c r="A89" s="1" t="s">
        <v>201</v>
      </c>
      <c r="B89" s="2" t="s">
        <v>189</v>
      </c>
      <c r="C89" s="696">
        <v>2.5370110655999998</v>
      </c>
      <c r="D89" s="696">
        <v>2.3699897671999999</v>
      </c>
      <c r="E89" s="696">
        <v>2.0833185824</v>
      </c>
      <c r="F89" s="696">
        <v>2.4789867607999998</v>
      </c>
      <c r="G89" s="696">
        <v>2.0695284279999999</v>
      </c>
      <c r="H89" s="696">
        <v>2.11</v>
      </c>
      <c r="I89" s="696">
        <v>2.0920999999999998</v>
      </c>
      <c r="J89" s="696">
        <v>2.2200000000000002</v>
      </c>
      <c r="K89" s="696">
        <f>AVERAGE(E89:J89)</f>
        <v>2.1756556285333333</v>
      </c>
    </row>
    <row r="90" spans="1:13" ht="22.5" customHeight="1" x14ac:dyDescent="0.6">
      <c r="A90" s="1" t="s">
        <v>202</v>
      </c>
      <c r="B90" s="2" t="s">
        <v>181</v>
      </c>
      <c r="C90" s="425">
        <f>C89*C$9*1000</f>
        <v>933.03234611406208</v>
      </c>
      <c r="D90" s="425">
        <f t="shared" ref="D90" si="31">D89*D$9*1000</f>
        <v>866.95702184689787</v>
      </c>
      <c r="E90" s="425">
        <f t="shared" ref="E90" si="32">E89*E$9*1000</f>
        <v>755.07274229045163</v>
      </c>
      <c r="F90" s="425">
        <f t="shared" ref="F90" si="33">F89*F$9*1000</f>
        <v>892.11009521709946</v>
      </c>
      <c r="G90" s="425">
        <f t="shared" ref="G90" si="34">G89*G$9*1000</f>
        <v>742.37436255702949</v>
      </c>
      <c r="H90" s="425">
        <f t="shared" ref="H90" si="35">H89*H$9*1000</f>
        <v>754.19975596115705</v>
      </c>
      <c r="I90" s="425">
        <f>I89*I$9*1000</f>
        <v>750.95306420912198</v>
      </c>
      <c r="J90" s="425">
        <f>J89*J$9*1000</f>
        <v>794.74609294716333</v>
      </c>
      <c r="K90" s="425">
        <f>K89*K$9*1000</f>
        <v>778.71050855974272</v>
      </c>
    </row>
    <row r="91" spans="1:13" ht="22.5" customHeight="1" x14ac:dyDescent="0.6">
      <c r="A91" s="1" t="s">
        <v>203</v>
      </c>
      <c r="B91" s="2" t="s">
        <v>189</v>
      </c>
      <c r="C91" s="696">
        <v>0.34289573559999997</v>
      </c>
      <c r="D91" s="696">
        <v>0.34325811555199998</v>
      </c>
      <c r="E91" s="696">
        <v>0.34718623121600001</v>
      </c>
      <c r="F91" s="696">
        <v>0.327266005616</v>
      </c>
      <c r="G91" s="696">
        <v>0.285931967904</v>
      </c>
      <c r="H91" s="696">
        <v>0.33971316913600003</v>
      </c>
      <c r="I91" s="696">
        <v>0.33889999999999998</v>
      </c>
      <c r="J91" s="696">
        <v>0.32</v>
      </c>
      <c r="K91" s="696">
        <f>AVERAGE(F91:J91)</f>
        <v>0.3223622285312</v>
      </c>
    </row>
    <row r="92" spans="1:13" ht="22.5" customHeight="1" x14ac:dyDescent="0.6">
      <c r="A92" s="1" t="s">
        <v>204</v>
      </c>
      <c r="B92" s="2" t="s">
        <v>181</v>
      </c>
      <c r="C92" s="425">
        <f>C91*C$9*1000</f>
        <v>126.10619519852642</v>
      </c>
      <c r="D92" s="425">
        <f t="shared" ref="D92" si="36">D91*D$9*1000</f>
        <v>125.5659571624754</v>
      </c>
      <c r="E92" s="425">
        <f t="shared" ref="E92" si="37">E91*E$9*1000</f>
        <v>125.83330360724379</v>
      </c>
      <c r="F92" s="425">
        <f t="shared" ref="F92" si="38">F91*F$9*1000</f>
        <v>117.77283850325659</v>
      </c>
      <c r="G92" s="425">
        <f t="shared" ref="G92" si="39">G91*G$9*1000</f>
        <v>102.56856563818558</v>
      </c>
      <c r="H92" s="425">
        <f t="shared" ref="H92:I92" si="40">H91*H$9*1000</f>
        <v>121.42729348775474</v>
      </c>
      <c r="I92" s="425">
        <f t="shared" si="40"/>
        <v>121.64714567203835</v>
      </c>
      <c r="J92" s="425">
        <f t="shared" ref="J92:K92" si="41">J91*J$9*1000</f>
        <v>114.5579953797713</v>
      </c>
      <c r="K92" s="425">
        <f t="shared" si="41"/>
        <v>115.37986601731019</v>
      </c>
    </row>
    <row r="93" spans="1:13" ht="22.5" customHeight="1" x14ac:dyDescent="0.6">
      <c r="A93" s="1" t="s">
        <v>205</v>
      </c>
      <c r="B93" s="2" t="s">
        <v>189</v>
      </c>
      <c r="C93" s="696">
        <v>3.2593442368672201</v>
      </c>
      <c r="D93" s="696">
        <v>3.5053192551430699</v>
      </c>
      <c r="E93" s="696">
        <v>3.5969364007400002</v>
      </c>
      <c r="F93" s="696">
        <v>3.8630812853973602</v>
      </c>
      <c r="G93" s="696">
        <v>3.6889741427688598</v>
      </c>
      <c r="H93" s="696">
        <v>3.78</v>
      </c>
      <c r="I93" s="696">
        <f>1.9975+0.008+0.9013+0.1139+0.0047+0.0087+0.1882+0.0907+0.0514+0.7481</f>
        <v>4.1125000000000007</v>
      </c>
      <c r="J93" s="696">
        <f>2.04+0.01+0.8+0.1+0+0.01+0.2+0+0.06+0.11+0.62</f>
        <v>3.9499999999999997</v>
      </c>
      <c r="K93" s="696">
        <f>AVERAGE(F93:J93)</f>
        <v>3.878911085633244</v>
      </c>
      <c r="M93">
        <f>27.2*0.7+29.8*0.3</f>
        <v>27.979999999999997</v>
      </c>
    </row>
    <row r="94" spans="1:13" ht="22.5" customHeight="1" x14ac:dyDescent="0.6">
      <c r="A94" s="1" t="s">
        <v>206</v>
      </c>
      <c r="B94" s="2" t="s">
        <v>181</v>
      </c>
      <c r="C94" s="425">
        <f>C93*C$9*1000</f>
        <v>1198.683616856184</v>
      </c>
      <c r="D94" s="425">
        <f t="shared" ref="D94" si="42">D93*D$9*1000</f>
        <v>1282.2676216242787</v>
      </c>
      <c r="E94" s="425">
        <f t="shared" ref="E94" si="43">E93*E$9*1000</f>
        <v>1303.6645738657521</v>
      </c>
      <c r="F94" s="425">
        <f t="shared" ref="F94" si="44">F93*F$9*1000</f>
        <v>1390.2025891558503</v>
      </c>
      <c r="G94" s="425">
        <f>G93*G$9*1000</f>
        <v>1323.2965494337227</v>
      </c>
      <c r="H94" s="425">
        <f t="shared" ref="H94" si="45">H93*H$9*1000</f>
        <v>1351.1256291626414</v>
      </c>
      <c r="I94" s="425">
        <f>I93*I$9*1000</f>
        <v>1476.1696269585655</v>
      </c>
      <c r="J94" s="425">
        <f>J93*J$9*1000</f>
        <v>1414.0752554690516</v>
      </c>
      <c r="K94" s="425">
        <f>K93*K$9*1000</f>
        <v>1388.3395811991252</v>
      </c>
    </row>
    <row r="95" spans="1:13" ht="22.5" customHeight="1" x14ac:dyDescent="0.6">
      <c r="A95" s="30" t="s">
        <v>207</v>
      </c>
      <c r="B95" s="30" t="s">
        <v>4</v>
      </c>
      <c r="C95" s="695">
        <f>C73+C81+C84</f>
        <v>38936.046874215121</v>
      </c>
      <c r="D95" s="695">
        <f t="shared" ref="D95:G95" si="46">D73+D81+D84</f>
        <v>43314.919582693481</v>
      </c>
      <c r="E95" s="695">
        <f>E73+E81+E84</f>
        <v>30093.427001478725</v>
      </c>
      <c r="F95" s="695">
        <f t="shared" si="46"/>
        <v>42944.986514942037</v>
      </c>
      <c r="G95" s="695">
        <f t="shared" si="46"/>
        <v>41684.620080955239</v>
      </c>
      <c r="H95" s="695">
        <f>H73+H81+H84</f>
        <v>40517.695064720487</v>
      </c>
      <c r="I95" s="695">
        <f>I73+I81+I84</f>
        <v>44756.335123705379</v>
      </c>
      <c r="J95" s="695">
        <f>J73+J81+J84</f>
        <v>37825.011937000338</v>
      </c>
      <c r="K95" s="695">
        <f>K73+K81+K84</f>
        <v>40884.329083100427</v>
      </c>
    </row>
    <row r="96" spans="1:13" ht="22.5" customHeight="1" x14ac:dyDescent="0.6">
      <c r="A96" s="1"/>
      <c r="B96" s="2"/>
      <c r="C96" s="3"/>
      <c r="D96" s="3"/>
      <c r="E96" s="3"/>
      <c r="F96" s="3"/>
      <c r="G96" s="3"/>
      <c r="H96" s="3"/>
      <c r="I96" s="3"/>
      <c r="J96" s="3"/>
      <c r="K96" s="3"/>
    </row>
    <row r="97" spans="1:28" ht="22.5" customHeight="1" x14ac:dyDescent="0.6">
      <c r="A97" s="6" t="s">
        <v>19</v>
      </c>
      <c r="B97" s="4" t="s">
        <v>2</v>
      </c>
      <c r="C97" s="5">
        <v>2015</v>
      </c>
      <c r="D97" s="5">
        <v>2016</v>
      </c>
      <c r="E97" s="5">
        <v>2017</v>
      </c>
      <c r="F97" s="5">
        <v>2018</v>
      </c>
      <c r="G97" s="5">
        <v>2019</v>
      </c>
      <c r="H97" s="5">
        <v>2020</v>
      </c>
      <c r="I97" s="5">
        <v>2021</v>
      </c>
      <c r="J97" s="5">
        <v>2022</v>
      </c>
      <c r="K97" s="5">
        <v>2023</v>
      </c>
      <c r="M97" s="5">
        <v>1</v>
      </c>
    </row>
    <row r="98" spans="1:28" ht="22.5" customHeight="1" x14ac:dyDescent="0.65">
      <c r="A98" s="14" t="s">
        <v>208</v>
      </c>
      <c r="B98" s="15" t="s">
        <v>181</v>
      </c>
      <c r="C98" s="697">
        <f t="shared" ref="C98:J98" si="47">C101*$M$100</f>
        <v>3492.0400000000009</v>
      </c>
      <c r="D98" s="697">
        <f t="shared" si="47"/>
        <v>4576.1000000000004</v>
      </c>
      <c r="E98" s="697">
        <f t="shared" si="47"/>
        <v>5335.88</v>
      </c>
      <c r="F98" s="697">
        <f t="shared" si="47"/>
        <v>6411.9000000000005</v>
      </c>
      <c r="G98" s="697">
        <f t="shared" si="47"/>
        <v>6745.56</v>
      </c>
      <c r="H98" s="697">
        <f t="shared" si="47"/>
        <v>7077.880000000001</v>
      </c>
      <c r="I98" s="697">
        <f t="shared" si="47"/>
        <v>7269.5</v>
      </c>
      <c r="J98" s="697">
        <f t="shared" si="47"/>
        <v>7396.8</v>
      </c>
      <c r="K98" s="953"/>
      <c r="L98" s="811"/>
      <c r="O98" s="727" t="s">
        <v>209</v>
      </c>
    </row>
    <row r="99" spans="1:28" ht="22.5" customHeight="1" x14ac:dyDescent="0.65">
      <c r="A99" s="13" t="s">
        <v>210</v>
      </c>
      <c r="B99" s="16"/>
      <c r="C99" s="1069">
        <v>926</v>
      </c>
      <c r="D99" s="1069">
        <v>922</v>
      </c>
      <c r="E99" s="1069">
        <v>923</v>
      </c>
      <c r="F99" s="1069">
        <v>1417</v>
      </c>
      <c r="G99" s="1069">
        <v>846</v>
      </c>
      <c r="H99" s="24">
        <v>1174</v>
      </c>
      <c r="I99" s="24">
        <v>1065</v>
      </c>
      <c r="J99" s="24">
        <f>913+105</f>
        <v>1018</v>
      </c>
      <c r="K99" s="24">
        <v>2127</v>
      </c>
      <c r="O99" s="727" t="s">
        <v>211</v>
      </c>
    </row>
    <row r="100" spans="1:28" ht="22.5" customHeight="1" x14ac:dyDescent="0.65">
      <c r="A100" s="13" t="s">
        <v>212</v>
      </c>
      <c r="B100" s="16"/>
      <c r="C100" s="1069">
        <f>AVERAGE(Byggingariðnaður!AJ44:AM44,C99)</f>
        <v>521.20000000000005</v>
      </c>
      <c r="D100" s="1069">
        <f>AVERAGE(Byggingariðnaður!AK44:AM44,C99:D99)</f>
        <v>683</v>
      </c>
      <c r="E100" s="1069">
        <f>AVERAGE(Byggingariðnaður!AL44:AM44,C99:E99)</f>
        <v>796.4</v>
      </c>
      <c r="F100" s="1069">
        <f>AVERAGE(Byggingariðnaður!AM44,C99:F99)</f>
        <v>957</v>
      </c>
      <c r="G100" s="1069">
        <f>AVERAGE(C99:G99)</f>
        <v>1006.8</v>
      </c>
      <c r="H100" s="24">
        <f>AVERAGE(D99:H99)</f>
        <v>1056.4000000000001</v>
      </c>
      <c r="I100" s="24">
        <f>AVERAGE(E99:I99)</f>
        <v>1085</v>
      </c>
      <c r="J100" s="24">
        <f>AVERAGE(F99:J99)</f>
        <v>1104</v>
      </c>
      <c r="K100" s="24">
        <f>AVERAGE(G99:K99)</f>
        <v>1246</v>
      </c>
      <c r="M100">
        <v>6.7000000000000004E-2</v>
      </c>
      <c r="O100" s="727" t="s">
        <v>213</v>
      </c>
    </row>
    <row r="101" spans="1:28" ht="22.5" customHeight="1" x14ac:dyDescent="0.6">
      <c r="A101" s="20" t="s">
        <v>212</v>
      </c>
      <c r="B101" s="21" t="s">
        <v>214</v>
      </c>
      <c r="C101" s="18">
        <f t="shared" ref="C101:K101" si="48">C100*$M$101</f>
        <v>52120.000000000007</v>
      </c>
      <c r="D101" s="18">
        <f t="shared" si="48"/>
        <v>68300</v>
      </c>
      <c r="E101" s="18">
        <f t="shared" si="48"/>
        <v>79640</v>
      </c>
      <c r="F101" s="18">
        <f t="shared" si="48"/>
        <v>95700</v>
      </c>
      <c r="G101" s="18">
        <f t="shared" si="48"/>
        <v>100680</v>
      </c>
      <c r="H101" s="18">
        <f t="shared" si="48"/>
        <v>105640.00000000001</v>
      </c>
      <c r="I101" s="18">
        <f t="shared" si="48"/>
        <v>108500</v>
      </c>
      <c r="J101" s="18">
        <f t="shared" si="48"/>
        <v>110400</v>
      </c>
      <c r="K101" s="18">
        <f t="shared" si="48"/>
        <v>124600</v>
      </c>
      <c r="M101">
        <v>100</v>
      </c>
    </row>
    <row r="102" spans="1:28" ht="22.5" customHeight="1" x14ac:dyDescent="0.6">
      <c r="A102" s="1" t="s">
        <v>215</v>
      </c>
      <c r="B102" s="21" t="s">
        <v>214</v>
      </c>
      <c r="C102" s="18"/>
      <c r="D102" s="18"/>
      <c r="E102" s="18"/>
      <c r="F102" s="18"/>
      <c r="G102" s="18"/>
      <c r="H102" s="29"/>
      <c r="I102" s="29">
        <f>2782*M101</f>
        <v>278200</v>
      </c>
      <c r="J102" s="29"/>
      <c r="K102" s="29"/>
    </row>
    <row r="103" spans="1:28" ht="22.5" customHeight="1" x14ac:dyDescent="0.6">
      <c r="A103" s="1" t="s">
        <v>1026</v>
      </c>
      <c r="B103" s="21"/>
      <c r="C103" s="18">
        <f>_xlfn.XLOOKUP(C97,Byggingariðnaður!$AJ$53:$AR$53,Byggingariðnaður!$AJ$54:$AR$54,0,0,1)</f>
        <v>947</v>
      </c>
      <c r="D103" s="18">
        <f>_xlfn.XLOOKUP(D97,Byggingariðnaður!$AJ$53:$AR$53,Byggingariðnaður!$AJ$54:$AR$54,0,0,1)</f>
        <v>1184.5</v>
      </c>
      <c r="E103" s="18">
        <f>_xlfn.XLOOKUP(E97,Byggingariðnaður!$AJ$53:$AR$53,Byggingariðnaður!$AJ$54:$AR$54,0,0,1)</f>
        <v>1368.5</v>
      </c>
      <c r="F103" s="18">
        <f>_xlfn.XLOOKUP(F97,Byggingariðnaður!$AJ$53:$AR$53,Byggingariðnaður!$AJ$54:$AR$54,0,0,1)</f>
        <v>2040.5</v>
      </c>
      <c r="G103" s="18">
        <f>_xlfn.XLOOKUP(G97,Byggingariðnaður!$AJ$53:$AR$53,Byggingariðnaður!$AJ$54:$AR$54,0,0,1)</f>
        <v>2688.5</v>
      </c>
      <c r="H103" s="18">
        <f>_xlfn.XLOOKUP(H97,Byggingariðnaður!$AJ$53:$AR$53,Byggingariðnaður!$AJ$54:$AR$54,0,0,1)</f>
        <v>2527.5</v>
      </c>
      <c r="I103" s="18">
        <f>_xlfn.XLOOKUP(I97,Byggingariðnaður!$AJ$53:$AR$53,Byggingariðnaður!$AJ$54:$AR$54,0,0,1)</f>
        <v>2462</v>
      </c>
      <c r="J103" s="18">
        <f>_xlfn.XLOOKUP(J97,Byggingariðnaður!$AJ$53:$AR$53,Byggingariðnaður!$AJ$54:$AR$54,0,0,1)</f>
        <v>2535</v>
      </c>
      <c r="K103" s="18">
        <f>_xlfn.XLOOKUP(K97,Byggingariðnaður!$AJ$53:$AR$53,Byggingariðnaður!$AJ$54:$AR$54,0,0,1)</f>
        <v>2331</v>
      </c>
    </row>
    <row r="104" spans="1:28" ht="22.5" customHeight="1" x14ac:dyDescent="0.6">
      <c r="A104" s="1" t="s">
        <v>212</v>
      </c>
      <c r="B104" s="21" t="s">
        <v>214</v>
      </c>
      <c r="C104" s="18">
        <f>AVERAGE(Byggingariðnaður!AJ43:AM43,C103)*$M$101</f>
        <v>75050</v>
      </c>
      <c r="D104" s="18">
        <f>AVERAGE(Byggingariðnaður!AK43:AM43,C103:D103)*$M$101</f>
        <v>88930</v>
      </c>
      <c r="E104" s="18">
        <f>AVERAGE(Byggingariðnaður!AL43:AM43,C103:E103)*$M$101</f>
        <v>108780</v>
      </c>
      <c r="F104" s="18">
        <f>AVERAGE(Byggingariðnaður!AM43,C103:F103)*$M$101</f>
        <v>140290</v>
      </c>
      <c r="G104" s="18">
        <f>AVERAGE(C103:G103)*$M$101</f>
        <v>164580</v>
      </c>
      <c r="H104" s="18">
        <f>AVERAGE(D103:H103)*$M$101</f>
        <v>196190</v>
      </c>
      <c r="I104" s="18">
        <f>AVERAGE(E103:I103)*$M$101</f>
        <v>221740</v>
      </c>
      <c r="J104" s="18">
        <f>AVERAGE(F103:J103)*$M$101</f>
        <v>245069.99999999997</v>
      </c>
      <c r="K104" s="18">
        <f>AVERAGE(G103:K103)*$M$101</f>
        <v>250880.00000000003</v>
      </c>
      <c r="M104">
        <v>76957.18912000001</v>
      </c>
    </row>
    <row r="105" spans="1:28" ht="22.5" customHeight="1" x14ac:dyDescent="0.6">
      <c r="A105" s="1" t="s">
        <v>99</v>
      </c>
      <c r="B105" s="21" t="s">
        <v>181</v>
      </c>
      <c r="C105" s="18">
        <f>IF($M$97=1,C104,C101)*Byggingariðnaður!$R$68</f>
        <v>23021.512449999998</v>
      </c>
      <c r="D105" s="18">
        <f>IF($M$97=1,D104,D101)*Byggingariðnaður!$R$68</f>
        <v>27279.188569999998</v>
      </c>
      <c r="E105" s="18">
        <f>IF($M$97=1,E104,E101)*Byggingariðnaður!$R$68</f>
        <v>33368.156219999997</v>
      </c>
      <c r="F105" s="18">
        <f>IF($M$97=1,F104,F101)*Byggingariðnaður!$R$68</f>
        <v>43033.817210000001</v>
      </c>
      <c r="G105" s="18">
        <f>IF($M$97=1,G104,G101)*Byggingariðnaður!$R$68</f>
        <v>50484.750419999997</v>
      </c>
      <c r="H105" s="18">
        <f>IF($M$97=1,H104,H101)*Byggingariðnaður!$R$68</f>
        <v>60181.086309999999</v>
      </c>
      <c r="I105" s="18">
        <f>IF($M$97=1,I104,I101)*Byggingariðnaður!$R$68</f>
        <v>68018.523260000002</v>
      </c>
      <c r="J105" s="18">
        <f>IF($M$97=1,J104,J101)*Byggingariðnaður!$R$68</f>
        <v>75174.977429999984</v>
      </c>
      <c r="K105" s="18">
        <f>IF($M$97=1,K104,K101)*Byggingariðnaður!$R$68</f>
        <v>76957.18912000001</v>
      </c>
    </row>
    <row r="106" spans="1:28" ht="22.5" customHeight="1" x14ac:dyDescent="0.6">
      <c r="A106" s="1" t="s">
        <v>216</v>
      </c>
      <c r="B106" s="21" t="s">
        <v>181</v>
      </c>
      <c r="C106" s="18">
        <f>IF($M$97=1,C104,C101)*Byggingariðnaður!$R$69</f>
        <v>3503.9344000000001</v>
      </c>
      <c r="D106" s="18">
        <f>IF($M$97=1,D104,D101)*Byggingariðnaður!$R$69</f>
        <v>4151.9638400000003</v>
      </c>
      <c r="E106" s="18">
        <f>IF($M$97=1,E104,E101)*Byggingariðnaður!$R$69</f>
        <v>5078.7206400000005</v>
      </c>
      <c r="F106" s="18">
        <f>IF($M$97=1,F104,F101)*Byggingariðnaður!$R$69</f>
        <v>6549.85952</v>
      </c>
      <c r="G106" s="18">
        <f>IF($M$97=1,G104,G101)*Byggingariðnaður!$R$69</f>
        <v>7683.91104</v>
      </c>
      <c r="H106" s="18">
        <f>IF($M$97=1,H104,H101)*Byggingariðnaður!$R$69</f>
        <v>9159.7187200000008</v>
      </c>
      <c r="I106" s="18">
        <f>IF($M$97=1,I104,I101)*Byggingariðnaður!$R$69</f>
        <v>10352.59712</v>
      </c>
      <c r="J106" s="18">
        <f>IF($M$97=1,J104,J101)*Byggingariðnaður!$R$69</f>
        <v>11441.828159999999</v>
      </c>
      <c r="K106" s="18">
        <f>IF($M$97=1,K104,K101)*Byggingariðnaður!$R$69</f>
        <v>11713.085440000001</v>
      </c>
    </row>
    <row r="107" spans="1:28" ht="22.5" customHeight="1" x14ac:dyDescent="0.6">
      <c r="A107" s="1" t="s">
        <v>217</v>
      </c>
      <c r="B107" s="21" t="s">
        <v>218</v>
      </c>
      <c r="C107" s="704"/>
      <c r="D107" s="704">
        <v>26.23</v>
      </c>
      <c r="E107" s="704">
        <v>16.920000000000002</v>
      </c>
      <c r="F107" s="704">
        <v>26.05</v>
      </c>
      <c r="G107" s="704">
        <v>15.24</v>
      </c>
      <c r="H107" s="696">
        <v>15.6074487726667</v>
      </c>
      <c r="I107" s="696">
        <v>22.5</v>
      </c>
      <c r="J107" s="842">
        <v>78.599999999999994</v>
      </c>
      <c r="K107" s="842">
        <f>AVERAGE(G107:J107)</f>
        <v>32.986862193166672</v>
      </c>
      <c r="M107">
        <f>K107*1000*$J$9</f>
        <v>11809.090020993561</v>
      </c>
      <c r="N107">
        <v>11809.090020993561</v>
      </c>
    </row>
    <row r="108" spans="1:28" ht="22.5" customHeight="1" x14ac:dyDescent="0.6">
      <c r="A108" s="1" t="s">
        <v>219</v>
      </c>
      <c r="B108" s="2" t="s">
        <v>218</v>
      </c>
      <c r="C108" s="705"/>
      <c r="D108" s="705">
        <v>0.03</v>
      </c>
      <c r="E108" s="705">
        <v>1.7000000000000001E-2</v>
      </c>
      <c r="F108" s="705">
        <v>2.5999999999999999E-2</v>
      </c>
      <c r="G108" s="705">
        <v>1.5339999999999999E-2</v>
      </c>
      <c r="H108" s="725">
        <f>0.00103197387*28</f>
        <v>2.889526836E-2</v>
      </c>
      <c r="I108" s="725">
        <f t="shared" ref="I108:K109" si="49">AVERAGE(E108:H108)</f>
        <v>2.1808817089999998E-2</v>
      </c>
      <c r="J108" s="843">
        <f t="shared" si="49"/>
        <v>2.3011021362500002E-2</v>
      </c>
      <c r="K108" s="843">
        <f t="shared" si="49"/>
        <v>2.2263776703125002E-2</v>
      </c>
      <c r="M108">
        <f>K108*1000*$J$9</f>
        <v>7.9702925896651662</v>
      </c>
      <c r="N108">
        <v>7.9702925896651662</v>
      </c>
    </row>
    <row r="109" spans="1:28" ht="22.5" customHeight="1" x14ac:dyDescent="0.6">
      <c r="A109" s="1" t="s">
        <v>220</v>
      </c>
      <c r="B109" s="2" t="s">
        <v>218</v>
      </c>
      <c r="C109" s="705"/>
      <c r="D109" s="705">
        <v>0.06</v>
      </c>
      <c r="E109" s="705">
        <v>0.04</v>
      </c>
      <c r="F109" s="705">
        <v>6.2E-2</v>
      </c>
      <c r="G109" s="705">
        <v>0.04</v>
      </c>
      <c r="H109" s="725">
        <f>0.000176325174*265</f>
        <v>4.6726171109999999E-2</v>
      </c>
      <c r="I109" s="725">
        <f t="shared" si="49"/>
        <v>4.7181542777500002E-2</v>
      </c>
      <c r="J109" s="843">
        <f t="shared" si="49"/>
        <v>4.8976928471875E-2</v>
      </c>
      <c r="K109" s="843">
        <f t="shared" si="49"/>
        <v>4.5721160589843754E-2</v>
      </c>
      <c r="M109">
        <f>K109*1000*$J$9</f>
        <v>16.367889073778443</v>
      </c>
      <c r="N109">
        <v>16.367889073778443</v>
      </c>
    </row>
    <row r="110" spans="1:28" ht="22.5" customHeight="1" x14ac:dyDescent="0.6">
      <c r="A110" s="1" t="s">
        <v>221</v>
      </c>
      <c r="B110" s="2" t="s">
        <v>181</v>
      </c>
      <c r="C110" s="29">
        <f>(C107+C108+C109)*C9*1000</f>
        <v>0</v>
      </c>
      <c r="D110" s="29">
        <f t="shared" ref="D110:F110" si="50">(D107+D108+D109)*D9*1000</f>
        <v>9628.0199732544861</v>
      </c>
      <c r="E110" s="29">
        <f t="shared" si="50"/>
        <v>6153.1011407278647</v>
      </c>
      <c r="F110" s="29">
        <f t="shared" si="50"/>
        <v>9406.2517950920992</v>
      </c>
      <c r="G110" s="29">
        <f>(G107+G108+G109)*G9*1000</f>
        <v>5486.6935524854916</v>
      </c>
      <c r="H110" s="29">
        <f>(H107+H108+H109)*H9*1000</f>
        <v>5605.7666951256833</v>
      </c>
      <c r="I110" s="29">
        <f>(I107+I108+I109)*I9*1000</f>
        <v>8101.0718736430554</v>
      </c>
      <c r="J110" s="29">
        <f>(J107+J108+J109)*J9*1000</f>
        <v>28164.078850232963</v>
      </c>
      <c r="K110" s="29">
        <f>(K107+K108+K109)*K9*1000</f>
        <v>11830.988545129681</v>
      </c>
      <c r="P110" s="811"/>
    </row>
    <row r="111" spans="1:28" x14ac:dyDescent="0.6">
      <c r="A111" s="1"/>
      <c r="B111" s="2"/>
      <c r="C111" s="3"/>
      <c r="D111" s="3"/>
      <c r="E111" s="3"/>
      <c r="F111" s="3"/>
      <c r="G111" s="3"/>
      <c r="H111" s="3"/>
      <c r="I111" s="3"/>
      <c r="J111" s="3"/>
      <c r="K111" s="3"/>
      <c r="M111" s="811"/>
    </row>
    <row r="112" spans="1:28" x14ac:dyDescent="0.6">
      <c r="A112" s="6" t="s">
        <v>222</v>
      </c>
      <c r="B112" s="4" t="s">
        <v>2</v>
      </c>
      <c r="C112" s="5">
        <v>2015</v>
      </c>
      <c r="D112" s="5">
        <v>2016</v>
      </c>
      <c r="E112" s="5">
        <v>2017</v>
      </c>
      <c r="F112" s="5">
        <v>2018</v>
      </c>
      <c r="G112" s="5">
        <v>2019</v>
      </c>
      <c r="H112" s="5">
        <v>2020</v>
      </c>
      <c r="I112" s="5">
        <v>2021</v>
      </c>
      <c r="J112" s="5">
        <v>2022</v>
      </c>
      <c r="K112" s="5">
        <v>2023</v>
      </c>
      <c r="M112">
        <f>Mælaborð!D4</f>
        <v>2023</v>
      </c>
      <c r="P112" t="str">
        <f>Mælaborð!B65</f>
        <v xml:space="preserve">Efnanotkun og iðnaður - </v>
      </c>
      <c r="Q112" t="str">
        <f>Mælaborð!C65</f>
        <v>Efnanotkun</v>
      </c>
      <c r="AA112" s="6" t="s">
        <v>1034</v>
      </c>
      <c r="AB112">
        <f>Dashboard!$D$4</f>
        <v>2023</v>
      </c>
    </row>
    <row r="113" spans="1:28" x14ac:dyDescent="0.6">
      <c r="A113" s="13" t="s">
        <v>84</v>
      </c>
      <c r="B113" s="16" t="s">
        <v>181</v>
      </c>
      <c r="C113" s="1069"/>
      <c r="D113" s="56">
        <f t="shared" ref="D113:H113" si="51">D22</f>
        <v>8750.48</v>
      </c>
      <c r="E113" s="56">
        <f t="shared" si="51"/>
        <v>8791.74</v>
      </c>
      <c r="F113" s="56">
        <f t="shared" si="51"/>
        <v>6597.9324422395039</v>
      </c>
      <c r="G113" s="56">
        <f t="shared" si="51"/>
        <v>6596.781353191589</v>
      </c>
      <c r="H113" s="693">
        <f t="shared" si="51"/>
        <v>6683.6113365935926</v>
      </c>
      <c r="I113" s="693">
        <f>I22</f>
        <v>6249.8700785104293</v>
      </c>
      <c r="J113" s="693">
        <f>J22</f>
        <v>6618.9558319999996</v>
      </c>
      <c r="K113" s="693">
        <f>K22</f>
        <v>6306.3991199691027</v>
      </c>
      <c r="M113" s="32">
        <f>INDEX($A$112:$K$141,MATCH(A113,$A$112:$A$141,0),MATCH(Mælaborð!$D$4,Reykjavík!$A$112:$K$112,0))</f>
        <v>6306.3991199691027</v>
      </c>
      <c r="P113">
        <v>2016</v>
      </c>
      <c r="Q113">
        <v>2017</v>
      </c>
      <c r="R113">
        <v>2018</v>
      </c>
      <c r="S113">
        <v>2019</v>
      </c>
      <c r="T113">
        <v>2020</v>
      </c>
      <c r="U113">
        <v>2021</v>
      </c>
      <c r="V113">
        <v>2022</v>
      </c>
      <c r="W113">
        <v>2023</v>
      </c>
      <c r="AA113" s="13" t="s">
        <v>49</v>
      </c>
      <c r="AB113" s="32">
        <f>INDEX($A$112:$K$141,MATCH(A113,$A$112:$A$141,0),MATCH(Dashboard!$D$4,Reykjavík!$A$112:$K$112,0))</f>
        <v>6306.3991199691027</v>
      </c>
    </row>
    <row r="114" spans="1:28" x14ac:dyDescent="0.6">
      <c r="A114" s="13" t="s">
        <v>86</v>
      </c>
      <c r="B114" s="16" t="s">
        <v>181</v>
      </c>
      <c r="C114" s="1069"/>
      <c r="D114" s="56">
        <f t="shared" ref="D114:I114" si="52">D26</f>
        <v>15306.78</v>
      </c>
      <c r="E114" s="56">
        <f t="shared" si="52"/>
        <v>14745.92</v>
      </c>
      <c r="F114" s="56">
        <f t="shared" si="52"/>
        <v>16093.152</v>
      </c>
      <c r="G114" s="56">
        <f t="shared" si="52"/>
        <v>16292.880000000003</v>
      </c>
      <c r="H114" s="693">
        <f t="shared" si="52"/>
        <v>17611.902000000002</v>
      </c>
      <c r="I114" s="693">
        <f t="shared" si="52"/>
        <v>17406.261999999999</v>
      </c>
      <c r="J114" s="693">
        <f>J26</f>
        <v>18462.365999999998</v>
      </c>
      <c r="K114" s="693">
        <f>K26</f>
        <v>17437.896000000001</v>
      </c>
      <c r="M114" s="32">
        <f>INDEX($A$112:$K$141,MATCH(A114,$A$112:$A$141,0),MATCH(Mælaborð!$D$4,Reykjavík!$A$112:$K$112,0))</f>
        <v>17437.896000000001</v>
      </c>
      <c r="P114" s="32">
        <f>INDEX($A$112:$J$141,MATCH($Q$112,$A$112:$A$141,0),MATCH(Reykjavík!P$113,Reykjavík!$A$112:$J$112,0))</f>
        <v>43314.919582693481</v>
      </c>
      <c r="Q114" s="32">
        <f>INDEX($A$112:$J$141,MATCH($Q$112,$A$112:$A$141,0),MATCH(Reykjavík!Q$113,Reykjavík!$A$112:$J$112,0))</f>
        <v>30093.427001478725</v>
      </c>
      <c r="R114" s="32">
        <f>INDEX($A$112:$J$141,MATCH($Q$112,$A$112:$A$141,0),MATCH(Reykjavík!R$113,Reykjavík!$A$112:$J$112,0))</f>
        <v>42944.986514942037</v>
      </c>
      <c r="S114" s="32">
        <f>INDEX($A$112:$J$141,MATCH($Q$112,$A$112:$A$141,0),MATCH(Reykjavík!S$113,Reykjavík!$A$112:$J$112,0))</f>
        <v>41684.620080955239</v>
      </c>
      <c r="T114" s="32">
        <f>INDEX($A$112:$J$141,MATCH($Q$112,$A$112:$A$141,0),MATCH(Reykjavík!T$113,Reykjavík!$A$112:$J$112,0))</f>
        <v>40517.695064720487</v>
      </c>
      <c r="U114" s="32">
        <f>INDEX($A$112:$J$141,MATCH($Q$112,$A$112:$A$141,0),MATCH(Reykjavík!U$113,Reykjavík!$A$112:$J$112,0))</f>
        <v>44756.335123705379</v>
      </c>
      <c r="V114" s="32">
        <f>INDEX($A$112:$J$141,MATCH($Q$112,$A$112:$A$141,0),MATCH(Reykjavík!V$113,Reykjavík!$A$112:$J$112,0))</f>
        <v>37825.011937000338</v>
      </c>
      <c r="W114" s="32">
        <f>INDEX($A$112:$K$141,MATCH($Q$112,$A$112:$A$141,0),MATCH(Reykjavík!W$113,Reykjavík!$A$112:$K$112,0))</f>
        <v>40884.329083100427</v>
      </c>
      <c r="AA114" s="13" t="s">
        <v>51</v>
      </c>
      <c r="AB114" s="32">
        <f>INDEX($A$112:$K$141,MATCH(A114,$A$112:$A$141,0),MATCH(Dashboard!$D$4,Reykjavík!$A$112:$K$112,0))</f>
        <v>17437.896000000001</v>
      </c>
    </row>
    <row r="115" spans="1:28" x14ac:dyDescent="0.6">
      <c r="A115" s="13" t="s">
        <v>83</v>
      </c>
      <c r="B115" s="16" t="s">
        <v>181</v>
      </c>
      <c r="C115" s="1069"/>
      <c r="D115" s="56">
        <f t="shared" ref="D115:I115" si="53">D113+D114</f>
        <v>24057.260000000002</v>
      </c>
      <c r="E115" s="56">
        <f t="shared" si="53"/>
        <v>23537.66</v>
      </c>
      <c r="F115" s="56">
        <f t="shared" si="53"/>
        <v>22691.084442239502</v>
      </c>
      <c r="G115" s="56">
        <f t="shared" si="53"/>
        <v>22889.661353191594</v>
      </c>
      <c r="H115" s="693">
        <f t="shared" si="53"/>
        <v>24295.513336593594</v>
      </c>
      <c r="I115" s="693">
        <f t="shared" si="53"/>
        <v>23656.132078510429</v>
      </c>
      <c r="J115" s="693">
        <f>J113+J114</f>
        <v>25081.321831999998</v>
      </c>
      <c r="K115" s="693">
        <f>K113+K114</f>
        <v>23744.295119969102</v>
      </c>
      <c r="L115" s="32">
        <f>I115-I23</f>
        <v>23381.747036490189</v>
      </c>
      <c r="M115" s="32">
        <f>INDEX($A$112:$K$141,MATCH(A115,$A$112:$A$141,0),MATCH(Mælaborð!$D$4,Reykjavík!$A$112:$K$112,0))</f>
        <v>23744.295119969102</v>
      </c>
      <c r="P115" s="376">
        <f>INDEX($A$143:$J$172,MATCH($Q$112,$A$143:$A$172,0),MATCH(Reykjavík!P$113,Reykjavík!$A$112:$J$112,0))</f>
        <v>0.36317910873755704</v>
      </c>
      <c r="Q115" s="376">
        <f>INDEX($A$143:$J$172,MATCH($Q$112,$A$143:$A$172,0),MATCH(Reykjavík!Q$113,Reykjavík!$A$112:$J$112,0))</f>
        <v>0.24971104363412017</v>
      </c>
      <c r="R115" s="376">
        <f>INDEX($A$143:$J$172,MATCH($Q$112,$A$143:$A$172,0),MATCH(Reykjavík!R$113,Reykjavík!$A$112:$J$112,0))</f>
        <v>0.34874644931373011</v>
      </c>
      <c r="S115" s="376">
        <f>INDEX($A$143:$J$172,MATCH($Q$112,$A$143:$A$172,0),MATCH(Reykjavík!S$113,Reykjavík!$A$112:$J$112,0))</f>
        <v>0.33251930504910049</v>
      </c>
      <c r="T115" s="376">
        <f>INDEX($A$143:$J$172,MATCH($Q$112,$A$143:$A$172,0),MATCH(Reykjavík!T$113,Reykjavík!$A$112:$J$112,0))</f>
        <v>0.32017396474662374</v>
      </c>
      <c r="U115" s="376">
        <f>INDEX($A$143:$J$172,MATCH($Q$112,$A$143:$A$172,0),MATCH(Reykjavík!U$113,Reykjavík!$A$112:$J$112,0))</f>
        <v>0.34800042861134733</v>
      </c>
      <c r="V115" s="376">
        <f>INDEX($A$143:$J$172,MATCH($Q$112,$A$143:$A$172,0),MATCH(Reykjavík!V$113,Reykjavík!$A$112:$J$112,0))</f>
        <v>0.28954065384497879</v>
      </c>
      <c r="W115" s="376">
        <f>INDEX($A$143:$K$172,MATCH($Q$112,$A$143:$A$172,0),MATCH(Reykjavík!W$113,Reykjavík!$A$112:$K$112,0))</f>
        <v>0.30442991766891858</v>
      </c>
      <c r="AA115" s="13" t="s">
        <v>48</v>
      </c>
      <c r="AB115" s="32">
        <f>INDEX($A$112:$K$141,MATCH(A115,$A$112:$A$141,0),MATCH(Dashboard!$D$4,Reykjavík!$A$112:$K$112,0))</f>
        <v>23744.295119969102</v>
      </c>
    </row>
    <row r="116" spans="1:28" x14ac:dyDescent="0.6">
      <c r="A116" s="13" t="s">
        <v>223</v>
      </c>
      <c r="B116" s="16" t="s">
        <v>181</v>
      </c>
      <c r="C116" s="1069"/>
      <c r="D116" s="56">
        <f t="shared" ref="D116:H117" si="54">D31</f>
        <v>177288.72100304358</v>
      </c>
      <c r="E116" s="56">
        <f t="shared" si="54"/>
        <v>191476.65694556726</v>
      </c>
      <c r="F116" s="56">
        <f t="shared" si="54"/>
        <v>196846.13898451629</v>
      </c>
      <c r="G116" s="56">
        <f t="shared" si="54"/>
        <v>203536.7628924434</v>
      </c>
      <c r="H116" s="693">
        <f t="shared" si="54"/>
        <v>182447.62542862695</v>
      </c>
      <c r="I116" s="693">
        <f t="shared" ref="I116" si="55">I31</f>
        <v>197241.7370532557</v>
      </c>
      <c r="J116" s="693">
        <f>J31</f>
        <v>180177.72222401455</v>
      </c>
      <c r="K116" s="693">
        <f>K31</f>
        <v>182631.6253205798</v>
      </c>
      <c r="M116" s="32">
        <f>INDEX($A$112:$K$141,MATCH(A116,$A$112:$A$141,0),MATCH(Mælaborð!$D$4,Reykjavík!$A$112:$K$112,0))</f>
        <v>182631.6253205798</v>
      </c>
      <c r="P116" s="32"/>
      <c r="Q116" s="32"/>
      <c r="R116" s="32"/>
      <c r="S116" s="32"/>
      <c r="T116" s="32"/>
      <c r="U116" s="25"/>
      <c r="AA116" s="13" t="s">
        <v>224</v>
      </c>
      <c r="AB116" s="32">
        <f>INDEX($A$112:$K$141,MATCH(A116,$A$112:$A$141,0),MATCH(Dashboard!$D$4,Reykjavík!$A$112:$K$112,0))</f>
        <v>182631.6253205798</v>
      </c>
    </row>
    <row r="117" spans="1:28" x14ac:dyDescent="0.6">
      <c r="A117" s="13" t="s">
        <v>225</v>
      </c>
      <c r="B117" s="16" t="s">
        <v>181</v>
      </c>
      <c r="C117" s="1069"/>
      <c r="D117" s="56">
        <f t="shared" si="54"/>
        <v>13223.836954500219</v>
      </c>
      <c r="E117" s="56">
        <f t="shared" si="54"/>
        <v>14282.104793330222</v>
      </c>
      <c r="F117" s="56">
        <f t="shared" si="54"/>
        <v>14682.610559356704</v>
      </c>
      <c r="G117" s="56">
        <f t="shared" si="54"/>
        <v>14936.860757197919</v>
      </c>
      <c r="H117" s="693">
        <f t="shared" si="54"/>
        <v>11698.090093541421</v>
      </c>
      <c r="I117" s="693">
        <f t="shared" ref="I117:J117" si="56">I32</f>
        <v>9599.8679501088409</v>
      </c>
      <c r="J117" s="693">
        <f t="shared" si="56"/>
        <v>14630.465949535896</v>
      </c>
      <c r="K117" s="693">
        <f t="shared" ref="K117" si="57">K32</f>
        <v>17804.542522148538</v>
      </c>
      <c r="L117" s="32">
        <f>H116+H117+H118</f>
        <v>260826.86854293308</v>
      </c>
      <c r="M117" s="32">
        <f>INDEX($A$112:$K$141,MATCH(A117,$A$112:$A$141,0),MATCH(Mælaborð!$D$4,Reykjavík!$A$112:$K$112,0))</f>
        <v>17804.542522148538</v>
      </c>
      <c r="P117" t="str">
        <f>Mælaborð!$B$89</f>
        <v xml:space="preserve">Samgöngur - </v>
      </c>
      <c r="Q117" t="str">
        <f>Mælaborð!$C$89</f>
        <v>Samgöngur</v>
      </c>
      <c r="U117" s="25"/>
      <c r="AA117" s="13" t="s">
        <v>226</v>
      </c>
      <c r="AB117" s="32">
        <f>INDEX($A$112:$K$141,MATCH(A117,$A$112:$A$141,0),MATCH(Dashboard!$D$4,Reykjavík!$A$112:$K$112,0))</f>
        <v>17804.542522148538</v>
      </c>
    </row>
    <row r="118" spans="1:28" x14ac:dyDescent="0.6">
      <c r="A118" s="13" t="s">
        <v>227</v>
      </c>
      <c r="B118" s="16" t="s">
        <v>181</v>
      </c>
      <c r="C118" s="1069"/>
      <c r="D118" s="56">
        <f t="shared" ref="D118:G118" si="58">D33</f>
        <v>64953.602511768651</v>
      </c>
      <c r="E118" s="56">
        <f t="shared" si="58"/>
        <v>70151.663315971178</v>
      </c>
      <c r="F118" s="56">
        <f t="shared" si="58"/>
        <v>72118.890560201733</v>
      </c>
      <c r="G118" s="56">
        <f t="shared" si="58"/>
        <v>74478.166463181537</v>
      </c>
      <c r="H118" s="693">
        <f>H33</f>
        <v>66681.153020764716</v>
      </c>
      <c r="I118" s="693">
        <f>I33</f>
        <v>76377.297923741542</v>
      </c>
      <c r="J118" s="693">
        <f>J33</f>
        <v>74587.144080953862</v>
      </c>
      <c r="K118" s="693">
        <f>K33</f>
        <v>62600.823041074313</v>
      </c>
      <c r="M118" s="32">
        <f>INDEX($A$112:$K$141,MATCH(A118,$A$112:$A$141,0),MATCH(Mælaborð!$D$4,Reykjavík!$A$112:$K$112,0))</f>
        <v>62600.823041074313</v>
      </c>
      <c r="P118">
        <v>2016</v>
      </c>
      <c r="Q118">
        <v>2017</v>
      </c>
      <c r="R118">
        <v>2018</v>
      </c>
      <c r="S118">
        <v>2019</v>
      </c>
      <c r="T118">
        <v>2020</v>
      </c>
      <c r="U118">
        <v>2021</v>
      </c>
      <c r="V118">
        <v>2022</v>
      </c>
      <c r="AA118" s="13" t="s">
        <v>228</v>
      </c>
      <c r="AB118" s="32">
        <f>INDEX($A$112:$K$141,MATCH(A118,$A$112:$A$141,0),MATCH(Dashboard!$D$4,Reykjavík!$A$112:$K$112,0))</f>
        <v>62600.823041074313</v>
      </c>
    </row>
    <row r="119" spans="1:28" x14ac:dyDescent="0.6">
      <c r="A119" s="13" t="s">
        <v>90</v>
      </c>
      <c r="B119" s="16" t="s">
        <v>181</v>
      </c>
      <c r="C119" s="1069"/>
      <c r="D119" s="56">
        <f t="shared" ref="D119:I119" si="59">D35</f>
        <v>40017.414575000003</v>
      </c>
      <c r="E119" s="56">
        <f t="shared" si="59"/>
        <v>34600</v>
      </c>
      <c r="F119" s="56">
        <f t="shared" si="59"/>
        <v>39750</v>
      </c>
      <c r="G119" s="56">
        <f t="shared" si="59"/>
        <v>47440</v>
      </c>
      <c r="H119" s="693">
        <f t="shared" si="59"/>
        <v>35080</v>
      </c>
      <c r="I119" s="693">
        <f t="shared" si="59"/>
        <v>28630</v>
      </c>
      <c r="J119" s="693">
        <f>J35</f>
        <v>42480</v>
      </c>
      <c r="K119" s="693">
        <f>K35</f>
        <v>51970</v>
      </c>
      <c r="M119" s="32">
        <f>INDEX($A$112:$K$141,MATCH(A119,$A$112:$A$141,0),MATCH(Mælaborð!$D$4,Reykjavík!$A$112:$K$112,0))</f>
        <v>51970</v>
      </c>
      <c r="P119" s="32">
        <f>INDEX($A$112:$J$141,MATCH($Q$117,$A$112:$A$141,0),MATCH(P$118,Reykjavík!$A$112:$J$112,0))</f>
        <v>300884.29106317263</v>
      </c>
      <c r="Q119" s="32">
        <f>INDEX($A$112:$J$141,MATCH($Q$117,$A$112:$A$141,0),MATCH(Q$118,Reykjavík!$A$112:$J$112,0))</f>
        <v>315302.77045046934</v>
      </c>
      <c r="R119" s="32">
        <f>INDEX($A$112:$J$141,MATCH($Q$117,$A$112:$A$141,0),MATCH(R$118,Reykjavík!$A$112:$J$112,0))</f>
        <v>330723.0267774213</v>
      </c>
      <c r="S119" s="32">
        <f>INDEX($A$112:$J$141,MATCH($Q$117,$A$112:$A$141,0),MATCH(S$118,Reykjavík!$A$112:$J$112,0))</f>
        <v>347328.98838310892</v>
      </c>
      <c r="T119" s="32">
        <f>INDEX($A$112:$J$141,MATCH($Q$117,$A$112:$A$141,0),MATCH(T$118,Reykjavík!$A$112:$J$112,0))</f>
        <v>300449.42679434142</v>
      </c>
      <c r="U119" s="32">
        <f>INDEX($A$112:$J$141,MATCH($Q$117,$A$112:$A$141,0),MATCH(U$118,Reykjavík!$A$112:$J$112,0))</f>
        <v>318547.78429826914</v>
      </c>
      <c r="V119" s="32">
        <f>INDEX($A$112:$J$141,MATCH($Q$117,$A$112:$A$141,0),MATCH(V$118,Reykjavík!$A$112:$J$112,0))</f>
        <v>317814.50886027474</v>
      </c>
      <c r="AA119" s="13" t="s">
        <v>55</v>
      </c>
      <c r="AB119" s="32">
        <f>INDEX($A$112:$K$141,MATCH(A119,$A$112:$A$141,0),MATCH(Dashboard!$D$4,Reykjavík!$A$112:$K$112,0))</f>
        <v>51970</v>
      </c>
    </row>
    <row r="120" spans="1:28" x14ac:dyDescent="0.6">
      <c r="A120" s="13" t="s">
        <v>91</v>
      </c>
      <c r="B120" s="16" t="s">
        <v>181</v>
      </c>
      <c r="C120" s="1069"/>
      <c r="D120" s="56">
        <f t="shared" ref="D120:I120" si="60">D38</f>
        <v>5400.7160188601574</v>
      </c>
      <c r="E120" s="56">
        <f t="shared" si="60"/>
        <v>4792.3453956006551</v>
      </c>
      <c r="F120" s="56">
        <f t="shared" si="60"/>
        <v>7325.3866733465939</v>
      </c>
      <c r="G120" s="56">
        <f t="shared" si="60"/>
        <v>6937.1982702861123</v>
      </c>
      <c r="H120" s="693">
        <f t="shared" si="60"/>
        <v>4542.5582514083553</v>
      </c>
      <c r="I120" s="693">
        <f t="shared" si="60"/>
        <v>6698.8813711630573</v>
      </c>
      <c r="J120" s="693">
        <f>J38</f>
        <v>5939.1766057704244</v>
      </c>
      <c r="K120" s="693">
        <f>K38</f>
        <v>6188.7020046428052</v>
      </c>
      <c r="M120" s="32">
        <f>INDEX($A$112:$K$141,MATCH(A120,$A$112:$A$141,0),MATCH(Mælaborð!$D$4,Reykjavík!$A$112:$K$112,0))</f>
        <v>6188.7020046428052</v>
      </c>
      <c r="P120" s="376">
        <f>INDEX($A$143:$J$172,MATCH($Q$117,$A$143:$A$172,0),MATCH(P$118,Reykjavík!$A$112:$J$112,0))</f>
        <v>2.5228002202067028</v>
      </c>
      <c r="Q120" s="376">
        <f>INDEX($A$143:$J$172,MATCH($Q$117,$A$143:$A$172,0),MATCH(Q$118,Reykjavík!$A$112:$J$112,0))</f>
        <v>2.6163382411065141</v>
      </c>
      <c r="R120" s="376">
        <f>INDEX($A$143:$J$172,MATCH($Q$117,$A$143:$A$172,0),MATCH(R$118,Reykjavík!$A$112:$J$112,0))</f>
        <v>2.6857263362927157</v>
      </c>
      <c r="S120" s="376">
        <f>INDEX($A$143:$J$172,MATCH($Q$117,$A$143:$A$172,0),MATCH(S$118,Reykjavík!$A$112:$J$112,0))</f>
        <v>2.7706524280720242</v>
      </c>
      <c r="T120" s="376">
        <f>INDEX($A$143:$J$172,MATCH($Q$117,$A$143:$A$172,0),MATCH(T$118,Reykjavík!$A$112:$J$112,0))</f>
        <v>2.3741746421887284</v>
      </c>
      <c r="U120" s="376">
        <f>INDEX($A$143:$J$172,MATCH($Q$117,$A$143:$A$172,0),MATCH(U$118,Reykjavík!$A$112:$J$112,0))</f>
        <v>2.4768508226286379</v>
      </c>
      <c r="V120" s="376">
        <f>INDEX($A$143:$J$172,MATCH($Q$117,$A$143:$A$172,0),MATCH(V$118,Reykjavík!$A$112:$J$112,0))</f>
        <v>2.4327876181530241</v>
      </c>
      <c r="AA120" s="13" t="s">
        <v>56</v>
      </c>
      <c r="AB120" s="32">
        <f>INDEX($A$112:$K$141,MATCH(A120,$A$112:$A$141,0),MATCH(Dashboard!$D$4,Reykjavík!$A$112:$K$112,0))</f>
        <v>6188.7020046428052</v>
      </c>
    </row>
    <row r="121" spans="1:28" x14ac:dyDescent="0.6">
      <c r="A121" s="13" t="s">
        <v>88</v>
      </c>
      <c r="B121" s="16" t="s">
        <v>181</v>
      </c>
      <c r="C121" s="1069"/>
      <c r="D121" s="56">
        <f t="shared" ref="D121:I121" si="61">SUM(D116:D120)</f>
        <v>300884.29106317263</v>
      </c>
      <c r="E121" s="56">
        <f t="shared" si="61"/>
        <v>315302.77045046934</v>
      </c>
      <c r="F121" s="56">
        <f t="shared" si="61"/>
        <v>330723.0267774213</v>
      </c>
      <c r="G121" s="56">
        <f t="shared" si="61"/>
        <v>347328.98838310892</v>
      </c>
      <c r="H121" s="693">
        <f t="shared" si="61"/>
        <v>300449.42679434142</v>
      </c>
      <c r="I121" s="693">
        <f t="shared" si="61"/>
        <v>318547.78429826914</v>
      </c>
      <c r="J121" s="693">
        <f t="shared" ref="J121:K121" si="62">SUM(J116:J120)</f>
        <v>317814.50886027474</v>
      </c>
      <c r="K121" s="693">
        <f t="shared" si="62"/>
        <v>321195.69288844545</v>
      </c>
      <c r="M121" s="32">
        <f>INDEX($A$112:$K$141,MATCH(A121,$A$112:$A$141,0),MATCH(Mælaborð!$D$4,Reykjavík!$A$112:$K$112,0))</f>
        <v>321195.69288844545</v>
      </c>
      <c r="AA121" s="13" t="s">
        <v>53</v>
      </c>
      <c r="AB121" s="32">
        <f>INDEX($A$112:$K$141,MATCH(A121,$A$112:$A$141,0),MATCH(Dashboard!$D$4,Reykjavík!$A$112:$K$112,0))</f>
        <v>321195.69288844545</v>
      </c>
    </row>
    <row r="122" spans="1:28" x14ac:dyDescent="0.6">
      <c r="A122" s="13" t="s">
        <v>92</v>
      </c>
      <c r="B122" s="16" t="s">
        <v>181</v>
      </c>
      <c r="C122" s="1069">
        <f t="shared" ref="C122:H122" si="63">C43</f>
        <v>58465.052461713523</v>
      </c>
      <c r="D122" s="56">
        <f t="shared" si="63"/>
        <v>59446.491877959321</v>
      </c>
      <c r="E122" s="56">
        <f t="shared" si="63"/>
        <v>59487.746760963069</v>
      </c>
      <c r="F122" s="56">
        <f t="shared" si="63"/>
        <v>59349.992056981653</v>
      </c>
      <c r="G122" s="56">
        <f t="shared" si="63"/>
        <v>45762.527610931633</v>
      </c>
      <c r="H122" s="693">
        <f t="shared" si="63"/>
        <v>60981.069374793056</v>
      </c>
      <c r="I122" s="693">
        <f>I43</f>
        <v>62533.83298489415</v>
      </c>
      <c r="J122" s="693">
        <f>J43</f>
        <v>59832.550184976702</v>
      </c>
      <c r="K122" s="693">
        <f>K43</f>
        <v>52511.084212098373</v>
      </c>
      <c r="L122" s="811"/>
      <c r="M122" s="32">
        <f>INDEX($A$112:$K$141,MATCH(A122,$A$112:$A$141,0),MATCH(Mælaborð!$D$4,Reykjavík!$A$112:$K$112,0))</f>
        <v>52511.084212098373</v>
      </c>
      <c r="AA122" s="13" t="s">
        <v>58</v>
      </c>
      <c r="AB122" s="32">
        <f>INDEX($A$112:$K$141,MATCH(A122,$A$112:$A$141,0),MATCH(Dashboard!$D$4,Reykjavík!$A$112:$K$112,0))</f>
        <v>52511.084212098373</v>
      </c>
    </row>
    <row r="123" spans="1:28" x14ac:dyDescent="0.6">
      <c r="A123" s="13" t="s">
        <v>31</v>
      </c>
      <c r="B123" s="16" t="s">
        <v>181</v>
      </c>
      <c r="C123" s="1069">
        <f t="shared" ref="C123:H123" si="64">C46</f>
        <v>0</v>
      </c>
      <c r="D123" s="56">
        <f t="shared" si="64"/>
        <v>0</v>
      </c>
      <c r="E123" s="56">
        <f t="shared" si="64"/>
        <v>0</v>
      </c>
      <c r="F123" s="56">
        <f t="shared" si="64"/>
        <v>0</v>
      </c>
      <c r="G123" s="56">
        <f t="shared" si="64"/>
        <v>0</v>
      </c>
      <c r="H123" s="693">
        <f t="shared" si="64"/>
        <v>31.758233747609946</v>
      </c>
      <c r="I123" s="693">
        <f t="shared" ref="I123:J123" si="65">I46</f>
        <v>272.45505902045227</v>
      </c>
      <c r="J123" s="693">
        <f t="shared" si="65"/>
        <v>406.93466062137276</v>
      </c>
      <c r="K123" s="693">
        <f t="shared" ref="K123" si="66">K46</f>
        <v>451.34801537148456</v>
      </c>
      <c r="M123" s="32">
        <f>INDEX($A$112:$K$141,MATCH(A123,$A$112:$A$141,0),MATCH(Mælaborð!$D$4,Reykjavík!$A$112:$K$112,0))</f>
        <v>451.34801537148456</v>
      </c>
      <c r="P123" s="25" t="s">
        <v>103</v>
      </c>
      <c r="Q123" s="25" t="s">
        <v>106</v>
      </c>
      <c r="R123" s="25" t="s">
        <v>229</v>
      </c>
      <c r="S123" s="25" t="s">
        <v>230</v>
      </c>
      <c r="T123" s="25" t="s">
        <v>231</v>
      </c>
      <c r="U123" s="25" t="s">
        <v>232</v>
      </c>
      <c r="AA123" s="13" t="s">
        <v>59</v>
      </c>
      <c r="AB123" s="32">
        <f>INDEX($A$112:$K$141,MATCH(A123,$A$112:$A$141,0),MATCH(Dashboard!$D$4,Reykjavík!$A$112:$K$112,0))</f>
        <v>451.34801537148456</v>
      </c>
    </row>
    <row r="124" spans="1:28" x14ac:dyDescent="0.6">
      <c r="A124" s="13" t="s">
        <v>93</v>
      </c>
      <c r="B124" s="16" t="s">
        <v>181</v>
      </c>
      <c r="C124" s="1069">
        <f>C51</f>
        <v>0</v>
      </c>
      <c r="D124" s="56">
        <f t="shared" ref="D124:I124" si="67">D52</f>
        <v>4309.2964844042608</v>
      </c>
      <c r="E124" s="56">
        <f t="shared" si="67"/>
        <v>4474.4164203276123</v>
      </c>
      <c r="F124" s="56">
        <f t="shared" si="67"/>
        <v>4439.0377657079298</v>
      </c>
      <c r="G124" s="56">
        <f t="shared" si="67"/>
        <v>4061.1758665699354</v>
      </c>
      <c r="H124" s="693">
        <f t="shared" si="67"/>
        <v>4223.2562403685479</v>
      </c>
      <c r="I124" s="693">
        <f t="shared" si="67"/>
        <v>4849.2270887634477</v>
      </c>
      <c r="J124" s="693">
        <f t="shared" ref="J124" si="68">J52</f>
        <v>4515.1752796091441</v>
      </c>
      <c r="K124" s="693">
        <f>K52+K49</f>
        <v>6227.948182030409</v>
      </c>
      <c r="M124" s="32">
        <f>INDEX($A$112:$K$141,MATCH(A124,$A$112:$A$141,0),MATCH(Mælaborð!$D$4,Reykjavík!$A$112:$K$112,0))</f>
        <v>6227.948182030409</v>
      </c>
      <c r="P124" t="s">
        <v>83</v>
      </c>
      <c r="Q124" t="s">
        <v>88</v>
      </c>
      <c r="R124" t="s">
        <v>9</v>
      </c>
      <c r="S124" t="s">
        <v>95</v>
      </c>
      <c r="T124" t="s">
        <v>98</v>
      </c>
      <c r="U124" t="s">
        <v>73</v>
      </c>
      <c r="AA124" s="13" t="s">
        <v>60</v>
      </c>
      <c r="AB124" s="32">
        <f>INDEX($A$112:$K$141,MATCH(A124,$A$112:$A$141,0),MATCH(Dashboard!$D$4,Reykjavík!$A$112:$K$112,0))</f>
        <v>6227.948182030409</v>
      </c>
    </row>
    <row r="125" spans="1:28" x14ac:dyDescent="0.6">
      <c r="A125" s="13" t="s">
        <v>33</v>
      </c>
      <c r="B125" s="16" t="s">
        <v>181</v>
      </c>
      <c r="C125" s="1069">
        <f t="shared" ref="C125:H125" si="69">C56</f>
        <v>3650.2632875904628</v>
      </c>
      <c r="D125" s="56">
        <f t="shared" si="69"/>
        <v>3524.7241633812368</v>
      </c>
      <c r="E125" s="56">
        <f t="shared" si="69"/>
        <v>3368.5892281485335</v>
      </c>
      <c r="F125" s="56">
        <f t="shared" si="69"/>
        <v>3556.7365614351861</v>
      </c>
      <c r="G125" s="56">
        <f t="shared" si="69"/>
        <v>3233.1331220756274</v>
      </c>
      <c r="H125" s="693">
        <f t="shared" si="69"/>
        <v>3554.5231321062447</v>
      </c>
      <c r="I125" s="693">
        <f t="shared" ref="I125:J125" si="70">I56</f>
        <v>3591.7122246338686</v>
      </c>
      <c r="J125" s="693">
        <f t="shared" si="70"/>
        <v>3543.0234972090616</v>
      </c>
      <c r="K125" s="693">
        <f t="shared" ref="K125" si="71">K56</f>
        <v>3606.8984032015128</v>
      </c>
      <c r="M125" s="32">
        <f>INDEX($A$112:$K$141,MATCH(A125,$A$112:$A$141,0),MATCH(Mælaborð!$D$4,Reykjavík!$A$112:$K$112,0))</f>
        <v>3606.8984032015128</v>
      </c>
      <c r="P125" t="s">
        <v>84</v>
      </c>
      <c r="Q125" t="s">
        <v>223</v>
      </c>
      <c r="R125" t="s">
        <v>92</v>
      </c>
      <c r="S125" t="s">
        <v>233</v>
      </c>
      <c r="T125" t="s">
        <v>25</v>
      </c>
      <c r="U125" t="s">
        <v>76</v>
      </c>
      <c r="AA125" s="13" t="s">
        <v>61</v>
      </c>
      <c r="AB125" s="32">
        <f>INDEX($A$112:$K$141,MATCH(A125,$A$112:$A$141,0),MATCH(Dashboard!$D$4,Reykjavík!$A$112:$K$112,0))</f>
        <v>3606.8984032015128</v>
      </c>
    </row>
    <row r="126" spans="1:28" x14ac:dyDescent="0.6">
      <c r="A126" s="13" t="s">
        <v>9</v>
      </c>
      <c r="B126" s="16" t="s">
        <v>181</v>
      </c>
      <c r="C126" s="1069"/>
      <c r="D126" s="56">
        <f t="shared" ref="D126:I126" si="72">D57</f>
        <v>67280.512525744824</v>
      </c>
      <c r="E126" s="56">
        <f t="shared" si="72"/>
        <v>67330.752409439214</v>
      </c>
      <c r="F126" s="56">
        <f t="shared" si="72"/>
        <v>67345.76638412477</v>
      </c>
      <c r="G126" s="56">
        <f t="shared" si="72"/>
        <v>53056.836599577196</v>
      </c>
      <c r="H126" s="693">
        <f t="shared" si="72"/>
        <v>68790.606981015459</v>
      </c>
      <c r="I126" s="693">
        <f t="shared" si="72"/>
        <v>71247.227357311916</v>
      </c>
      <c r="J126" s="693">
        <f t="shared" ref="J126:K126" si="73">J57</f>
        <v>68297.683622416283</v>
      </c>
      <c r="K126" s="693">
        <f t="shared" si="73"/>
        <v>62797.278812701777</v>
      </c>
      <c r="M126" s="32">
        <f>INDEX($A$112:$K$141,MATCH(A126,$A$112:$A$141,0),MATCH(Mælaborð!$D$4,Reykjavík!$A$112:$K$112,0))</f>
        <v>62797.278812701777</v>
      </c>
      <c r="P126" t="s">
        <v>86</v>
      </c>
      <c r="Q126" t="s">
        <v>225</v>
      </c>
      <c r="R126" t="s">
        <v>31</v>
      </c>
      <c r="S126" t="s">
        <v>97</v>
      </c>
      <c r="T126" t="s">
        <v>208</v>
      </c>
      <c r="U126" t="s">
        <v>234</v>
      </c>
      <c r="AA126" s="13" t="s">
        <v>57</v>
      </c>
      <c r="AB126" s="32">
        <f>INDEX($A$112:$K$141,MATCH(A126,$A$112:$A$141,0),MATCH(Dashboard!$D$4,Reykjavík!$A$112:$K$112,0))</f>
        <v>62797.278812701777</v>
      </c>
    </row>
    <row r="127" spans="1:28" x14ac:dyDescent="0.6">
      <c r="A127" s="13" t="s">
        <v>233</v>
      </c>
      <c r="B127" s="16" t="s">
        <v>181</v>
      </c>
      <c r="C127" s="1069"/>
      <c r="D127" s="56">
        <f t="shared" ref="D127:I127" si="74">D63</f>
        <v>1829.6519397420795</v>
      </c>
      <c r="E127" s="56">
        <f t="shared" si="74"/>
        <v>2245.4398830453683</v>
      </c>
      <c r="F127" s="56">
        <f t="shared" si="74"/>
        <v>1691.624489923749</v>
      </c>
      <c r="G127" s="56">
        <f t="shared" si="74"/>
        <v>1710.0061987558634</v>
      </c>
      <c r="H127" s="693">
        <f t="shared" si="74"/>
        <v>2652.4245259230693</v>
      </c>
      <c r="I127" s="693">
        <f t="shared" si="74"/>
        <v>2654.0703045108339</v>
      </c>
      <c r="J127" s="693">
        <f t="shared" ref="J127:K127" si="75">J63</f>
        <v>2565.3120470227268</v>
      </c>
      <c r="K127" s="693">
        <f t="shared" si="75"/>
        <v>2225.7389972815336</v>
      </c>
      <c r="M127" s="32">
        <f>INDEX($A$112:$K$141,MATCH(A127,$A$112:$A$141,0),MATCH(Mælaborð!$D$4,Reykjavík!$A$112:$K$112,0))</f>
        <v>2225.7389972815336</v>
      </c>
      <c r="Q127" t="s">
        <v>227</v>
      </c>
      <c r="R127" t="s">
        <v>93</v>
      </c>
      <c r="T127" t="s">
        <v>235</v>
      </c>
      <c r="U127" t="s">
        <v>80</v>
      </c>
      <c r="AA127" s="13" t="s">
        <v>63</v>
      </c>
      <c r="AB127" s="32">
        <f>INDEX($A$112:$K$141,MATCH(A127,$A$112:$A$141,0),MATCH(Dashboard!$D$4,Reykjavík!$A$112:$K$112,0))</f>
        <v>2225.7389972815336</v>
      </c>
    </row>
    <row r="128" spans="1:28" x14ac:dyDescent="0.6">
      <c r="A128" s="13" t="s">
        <v>97</v>
      </c>
      <c r="B128" s="16" t="s">
        <v>181</v>
      </c>
      <c r="C128" s="1069"/>
      <c r="D128" s="56">
        <f t="shared" ref="D128:I128" si="76">D60</f>
        <v>45422</v>
      </c>
      <c r="E128" s="56">
        <f t="shared" si="76"/>
        <v>45422</v>
      </c>
      <c r="F128" s="56">
        <f t="shared" si="76"/>
        <v>45422</v>
      </c>
      <c r="G128" s="56">
        <f t="shared" si="76"/>
        <v>45422</v>
      </c>
      <c r="H128" s="693">
        <f t="shared" si="76"/>
        <v>45422</v>
      </c>
      <c r="I128" s="693">
        <f t="shared" si="76"/>
        <v>45422</v>
      </c>
      <c r="J128" s="693">
        <f t="shared" ref="J128:K128" si="77">J60</f>
        <v>45422</v>
      </c>
      <c r="K128" s="693">
        <f t="shared" si="77"/>
        <v>45422</v>
      </c>
      <c r="M128" s="32">
        <f>INDEX($A$112:$K$141,MATCH(A128,$A$112:$A$141,0),MATCH(Mælaborð!$D$4,Reykjavík!$A$112:$K$112,0))</f>
        <v>45422</v>
      </c>
      <c r="Q128" t="s">
        <v>90</v>
      </c>
      <c r="R128" t="s">
        <v>33</v>
      </c>
      <c r="U128" t="s">
        <v>81</v>
      </c>
      <c r="AA128" s="13" t="s">
        <v>64</v>
      </c>
      <c r="AB128" s="32">
        <f>INDEX($A$112:$K$141,MATCH(A128,$A$112:$A$141,0),MATCH(Dashboard!$D$4,Reykjavík!$A$112:$K$112,0))</f>
        <v>45422</v>
      </c>
    </row>
    <row r="129" spans="1:28" x14ac:dyDescent="0.6">
      <c r="A129" s="13" t="s">
        <v>95</v>
      </c>
      <c r="B129" s="16" t="s">
        <v>181</v>
      </c>
      <c r="C129" s="1069"/>
      <c r="D129" s="56">
        <f t="shared" ref="D129:I129" si="78">D127+D128</f>
        <v>47251.651939742078</v>
      </c>
      <c r="E129" s="56">
        <f t="shared" si="78"/>
        <v>47667.439883045372</v>
      </c>
      <c r="F129" s="56">
        <f t="shared" si="78"/>
        <v>47113.62448992375</v>
      </c>
      <c r="G129" s="56">
        <f t="shared" si="78"/>
        <v>47132.006198755866</v>
      </c>
      <c r="H129" s="693">
        <f t="shared" si="78"/>
        <v>48074.424525923067</v>
      </c>
      <c r="I129" s="693">
        <f t="shared" si="78"/>
        <v>48076.070304510831</v>
      </c>
      <c r="J129" s="693">
        <f>J127+J128</f>
        <v>47987.31204702273</v>
      </c>
      <c r="K129" s="693">
        <f>K127+K128</f>
        <v>47647.738997281536</v>
      </c>
      <c r="M129" s="32">
        <f>INDEX($A$112:$K$141,MATCH(A129,$A$112:$A$141,0),MATCH(Mælaborð!$D$4,Reykjavík!$A$112:$K$112,0))</f>
        <v>47647.738997281536</v>
      </c>
      <c r="Q129" t="s">
        <v>91</v>
      </c>
      <c r="U129" t="s">
        <v>82</v>
      </c>
      <c r="AA129" s="13" t="s">
        <v>236</v>
      </c>
      <c r="AB129" s="32">
        <f>INDEX($A$112:$K$141,MATCH(A129,$A$112:$A$141,0),MATCH(Dashboard!$D$4,Reykjavík!$A$112:$K$112,0))</f>
        <v>47647.738997281536</v>
      </c>
    </row>
    <row r="130" spans="1:28" x14ac:dyDescent="0.6">
      <c r="A130" s="13" t="s">
        <v>25</v>
      </c>
      <c r="B130" s="16" t="s">
        <v>181</v>
      </c>
      <c r="C130" s="1069"/>
      <c r="D130" s="56">
        <f t="shared" ref="D130:I130" si="79">D95</f>
        <v>43314.919582693481</v>
      </c>
      <c r="E130" s="56">
        <f t="shared" si="79"/>
        <v>30093.427001478725</v>
      </c>
      <c r="F130" s="56">
        <f t="shared" si="79"/>
        <v>42944.986514942037</v>
      </c>
      <c r="G130" s="56">
        <f t="shared" si="79"/>
        <v>41684.620080955239</v>
      </c>
      <c r="H130" s="693">
        <f t="shared" si="79"/>
        <v>40517.695064720487</v>
      </c>
      <c r="I130" s="693">
        <f t="shared" si="79"/>
        <v>44756.335123705379</v>
      </c>
      <c r="J130" s="693">
        <f t="shared" ref="J130:K130" si="80">J95</f>
        <v>37825.011937000338</v>
      </c>
      <c r="K130" s="693">
        <f t="shared" si="80"/>
        <v>40884.329083100427</v>
      </c>
      <c r="M130" s="32">
        <f>INDEX($A$112:$K$141,MATCH(A130,$A$112:$A$141,0),MATCH(Mælaborð!$D$4,Reykjavík!$A$112:$K$112,0))</f>
        <v>40884.329083100427</v>
      </c>
      <c r="AA130" s="13" t="s">
        <v>66</v>
      </c>
      <c r="AB130" s="32">
        <f>INDEX($A$112:$K$141,MATCH(A130,$A$112:$A$141,0),MATCH(Dashboard!$D$4,Reykjavík!$A$112:$K$112,0))</f>
        <v>40884.329083100427</v>
      </c>
    </row>
    <row r="131" spans="1:28" x14ac:dyDescent="0.6">
      <c r="A131" s="13" t="s">
        <v>208</v>
      </c>
      <c r="B131" s="16" t="s">
        <v>181</v>
      </c>
      <c r="C131" s="1069">
        <f>C132+C133</f>
        <v>26525.44685</v>
      </c>
      <c r="D131" s="56">
        <f t="shared" ref="D131:I131" si="81">D132+D133</f>
        <v>31431.152409999999</v>
      </c>
      <c r="E131" s="56">
        <f t="shared" si="81"/>
        <v>38446.876859999997</v>
      </c>
      <c r="F131" s="56">
        <f t="shared" si="81"/>
        <v>49583.676729999999</v>
      </c>
      <c r="G131" s="56">
        <f t="shared" si="81"/>
        <v>58168.661459999996</v>
      </c>
      <c r="H131" s="693">
        <f t="shared" si="81"/>
        <v>69340.805030000003</v>
      </c>
      <c r="I131" s="693">
        <f t="shared" si="81"/>
        <v>78371.120380000008</v>
      </c>
      <c r="J131" s="693">
        <f>J132+J133</f>
        <v>86616.805589999989</v>
      </c>
      <c r="K131" s="693">
        <f>K132+K133</f>
        <v>88670.274560000005</v>
      </c>
      <c r="M131" s="32">
        <f>INDEX($A$112:$K$141,MATCH(A131,$A$112:$A$141,0),MATCH(Mælaborð!$D$4,Reykjavík!$A$112:$K$112,0))</f>
        <v>88670.274560000005</v>
      </c>
      <c r="AA131" s="13" t="s">
        <v>237</v>
      </c>
      <c r="AB131" s="32">
        <f>INDEX($A$112:$K$141,MATCH(A131,$A$112:$A$141,0),MATCH(Dashboard!$D$4,Reykjavík!$A$112:$K$112,0))</f>
        <v>88670.274560000005</v>
      </c>
    </row>
    <row r="132" spans="1:28" x14ac:dyDescent="0.6">
      <c r="A132" s="13" t="s">
        <v>238</v>
      </c>
      <c r="B132" s="16" t="s">
        <v>181</v>
      </c>
      <c r="C132" s="56">
        <f>C106</f>
        <v>3503.9344000000001</v>
      </c>
      <c r="D132" s="56">
        <f t="shared" ref="D132:I132" si="82">D106</f>
        <v>4151.9638400000003</v>
      </c>
      <c r="E132" s="56">
        <f t="shared" si="82"/>
        <v>5078.7206400000005</v>
      </c>
      <c r="F132" s="56">
        <f t="shared" si="82"/>
        <v>6549.85952</v>
      </c>
      <c r="G132" s="56">
        <f t="shared" si="82"/>
        <v>7683.91104</v>
      </c>
      <c r="H132" s="693">
        <f t="shared" si="82"/>
        <v>9159.7187200000008</v>
      </c>
      <c r="I132" s="693">
        <f t="shared" si="82"/>
        <v>10352.59712</v>
      </c>
      <c r="J132" s="693">
        <f>J106</f>
        <v>11441.828159999999</v>
      </c>
      <c r="K132" s="693">
        <f>K106</f>
        <v>11713.085440000001</v>
      </c>
      <c r="M132" s="32">
        <f>INDEX($A$112:$K$141,MATCH(A132,$A$112:$A$141,0),MATCH(Mælaborð!$D$4,Reykjavík!$A$112:$K$112,0))</f>
        <v>11713.085440000001</v>
      </c>
      <c r="AA132" s="13" t="s">
        <v>239</v>
      </c>
      <c r="AB132" s="32">
        <f>INDEX($A$112:$K$141,MATCH(A132,$A$112:$A$141,0),MATCH(Dashboard!$D$4,Reykjavík!$A$112:$K$112,0))</f>
        <v>11713.085440000001</v>
      </c>
    </row>
    <row r="133" spans="1:28" x14ac:dyDescent="0.6">
      <c r="A133" s="13" t="s">
        <v>99</v>
      </c>
      <c r="B133" s="16" t="s">
        <v>181</v>
      </c>
      <c r="C133" s="56">
        <f>C105</f>
        <v>23021.512449999998</v>
      </c>
      <c r="D133" s="56">
        <f t="shared" ref="D133:I133" si="83">D105</f>
        <v>27279.188569999998</v>
      </c>
      <c r="E133" s="56">
        <f t="shared" si="83"/>
        <v>33368.156219999997</v>
      </c>
      <c r="F133" s="56">
        <f t="shared" si="83"/>
        <v>43033.817210000001</v>
      </c>
      <c r="G133" s="56">
        <f t="shared" si="83"/>
        <v>50484.750419999997</v>
      </c>
      <c r="H133" s="693">
        <f t="shared" si="83"/>
        <v>60181.086309999999</v>
      </c>
      <c r="I133" s="693">
        <f t="shared" si="83"/>
        <v>68018.523260000002</v>
      </c>
      <c r="J133" s="693">
        <f t="shared" ref="J133:K133" si="84">J105</f>
        <v>75174.977429999984</v>
      </c>
      <c r="K133" s="693">
        <f t="shared" si="84"/>
        <v>76957.18912000001</v>
      </c>
      <c r="M133" s="32">
        <f>INDEX($A$112:$K$141,MATCH(A133,$A$112:$A$141,0),MATCH(Mælaborð!$D$4,Reykjavík!$A$112:$K$112,0))</f>
        <v>76957.18912000001</v>
      </c>
      <c r="AA133" s="13" t="s">
        <v>67</v>
      </c>
      <c r="AB133" s="32">
        <f>INDEX($A$112:$K$141,MATCH(A133,$A$112:$A$141,0),MATCH(Dashboard!$D$4,Reykjavík!$A$112:$K$112,0))</f>
        <v>76957.18912000001</v>
      </c>
    </row>
    <row r="134" spans="1:28" x14ac:dyDescent="0.6">
      <c r="A134" s="13" t="s">
        <v>235</v>
      </c>
      <c r="B134" s="16" t="s">
        <v>181</v>
      </c>
      <c r="C134" s="1069"/>
      <c r="D134" s="56">
        <f t="shared" ref="D134:I134" si="85">D110</f>
        <v>9628.0199732544861</v>
      </c>
      <c r="E134" s="56">
        <f t="shared" si="85"/>
        <v>6153.1011407278647</v>
      </c>
      <c r="F134" s="56">
        <f t="shared" si="85"/>
        <v>9406.2517950920992</v>
      </c>
      <c r="G134" s="56">
        <f t="shared" si="85"/>
        <v>5486.6935524854916</v>
      </c>
      <c r="H134" s="693">
        <f t="shared" si="85"/>
        <v>5605.7666951256833</v>
      </c>
      <c r="I134" s="693">
        <f t="shared" si="85"/>
        <v>8101.0718736430554</v>
      </c>
      <c r="J134" s="693">
        <f t="shared" ref="J134:K134" si="86">J110</f>
        <v>28164.078850232963</v>
      </c>
      <c r="K134" s="693">
        <f t="shared" si="86"/>
        <v>11830.988545129681</v>
      </c>
      <c r="M134" s="32">
        <f>INDEX($A$112:$K$141,MATCH(A134,$A$112:$A$141,0),MATCH(Mælaborð!$D$4,Reykjavík!$A$112:$K$112,0))</f>
        <v>11830.988545129681</v>
      </c>
      <c r="P134" t="str">
        <f>Dashboard!B65</f>
        <v>Summary -</v>
      </c>
      <c r="Q134" t="str">
        <f>Dashboard!C65</f>
        <v>BASIC</v>
      </c>
      <c r="AA134" s="13" t="s">
        <v>68</v>
      </c>
      <c r="AB134" s="32">
        <f>INDEX($A$112:$K$141,MATCH(A134,$A$112:$A$141,0),MATCH(Dashboard!$D$4,Reykjavík!$A$112:$K$112,0))</f>
        <v>11830.988545129681</v>
      </c>
    </row>
    <row r="135" spans="1:28" x14ac:dyDescent="0.6">
      <c r="A135" s="13" t="s">
        <v>98</v>
      </c>
      <c r="B135" s="16" t="s">
        <v>181</v>
      </c>
      <c r="C135" s="1069"/>
      <c r="D135" s="56">
        <f>SUM(D130:D134)</f>
        <v>115805.24437594796</v>
      </c>
      <c r="E135" s="56">
        <f t="shared" ref="E135:I135" si="87">SUM(E130:E134)</f>
        <v>113140.28186220658</v>
      </c>
      <c r="F135" s="56">
        <f t="shared" si="87"/>
        <v>151518.59177003414</v>
      </c>
      <c r="G135" s="56">
        <f t="shared" si="87"/>
        <v>163508.63655344074</v>
      </c>
      <c r="H135" s="693">
        <f t="shared" si="87"/>
        <v>184805.07181984617</v>
      </c>
      <c r="I135" s="693">
        <f t="shared" si="87"/>
        <v>209599.64775734846</v>
      </c>
      <c r="J135" s="693">
        <f>SUM(J130:J134)</f>
        <v>239222.7019672333</v>
      </c>
      <c r="K135" s="693">
        <f>SUM(K130:K134)</f>
        <v>230055.86674823015</v>
      </c>
      <c r="M135" s="32">
        <f>INDEX($A$112:$K$141,MATCH(A135,$A$112:$A$141,0),MATCH(Mælaborð!$D$4,Reykjavík!$A$112:$K$112,0))</f>
        <v>230055.86674823015</v>
      </c>
      <c r="P135">
        <v>2016</v>
      </c>
      <c r="Q135">
        <v>2017</v>
      </c>
      <c r="R135">
        <v>2018</v>
      </c>
      <c r="S135">
        <v>2019</v>
      </c>
      <c r="T135">
        <v>2020</v>
      </c>
      <c r="U135">
        <v>2021</v>
      </c>
      <c r="V135">
        <v>2022</v>
      </c>
      <c r="W135">
        <v>2023</v>
      </c>
      <c r="AA135" s="13" t="s">
        <v>65</v>
      </c>
      <c r="AB135" s="32">
        <f>INDEX($A$112:$K$141,MATCH(A135,$A$112:$A$141,0),MATCH(Dashboard!$D$4,Reykjavík!$A$112:$K$112,0))</f>
        <v>230055.86674823015</v>
      </c>
    </row>
    <row r="136" spans="1:28" x14ac:dyDescent="0.6">
      <c r="A136" s="13" t="s">
        <v>73</v>
      </c>
      <c r="B136" s="16" t="s">
        <v>181</v>
      </c>
      <c r="C136" s="1069"/>
      <c r="D136" s="56">
        <f>D115+D121+D126-D23+D132</f>
        <v>396374.02742891747</v>
      </c>
      <c r="E136" s="56">
        <f t="shared" ref="E136:H136" si="88">E115+E121+E126-E23+E132</f>
        <v>411249.90349990857</v>
      </c>
      <c r="F136" s="56">
        <f t="shared" si="88"/>
        <v>427067.80928704602</v>
      </c>
      <c r="G136" s="56">
        <f t="shared" si="88"/>
        <v>430735.36651868612</v>
      </c>
      <c r="H136" s="693">
        <f t="shared" si="88"/>
        <v>402401.83845595689</v>
      </c>
      <c r="I136" s="693">
        <f>I115+I121+I126-I23+I132</f>
        <v>423529.35581207124</v>
      </c>
      <c r="J136" s="693">
        <f>J115+J121+J126-J23+J132</f>
        <v>422344.75363469101</v>
      </c>
      <c r="K136" s="693">
        <f>K115+K121+K126-K23+K132</f>
        <v>419169.78825750481</v>
      </c>
      <c r="M136" s="32">
        <f>INDEX($A$112:$K$141,MATCH(A136,$A$112:$A$141,0),MATCH(Mælaborð!$D$4,Reykjavík!$A$112:$K$112,0))</f>
        <v>419169.78825750481</v>
      </c>
      <c r="P136" s="32">
        <f>IFERROR(INDEX($A$112:$J$141,MATCH($Q$134,$AA$112:$AA$141,0),MATCH(P$135,Reykjavík!$A$112:$J$112,0)),0)</f>
        <v>396374.02742891747</v>
      </c>
      <c r="Q136" s="32">
        <f>IFERROR(INDEX($A$112:$J$141,MATCH($Q$134,$AA$112:$AA$141,0),MATCH(Q$135,Reykjavík!$A$112:$J$112,0)),0)</f>
        <v>411249.90349990857</v>
      </c>
      <c r="R136" s="32">
        <f>IFERROR(INDEX($A$112:$J$141,MATCH($Q$134,$AA$112:$AA$141,0),MATCH(R$135,Reykjavík!$A$112:$J$112,0)),0)</f>
        <v>427067.80928704602</v>
      </c>
      <c r="S136" s="32">
        <f>IFERROR(INDEX($A$112:$J$141,MATCH($Q$134,$AA$112:$AA$141,0),MATCH(S$135,Reykjavík!$A$112:$J$112,0)),0)</f>
        <v>430735.36651868612</v>
      </c>
      <c r="T136" s="32">
        <f>IFERROR(INDEX($A$112:$K$141,MATCH($Q$134,$AA$112:$AA$141,0),MATCH(T$135,Reykjavík!$A$112:$K$112,0)),0)</f>
        <v>402401.83845595689</v>
      </c>
      <c r="U136" s="32">
        <f>IFERROR(INDEX($A$112:$J$141,MATCH($Q$134,$AA$112:$AA$141,0),MATCH(U$135,Reykjavík!$A$112:$J$112,0)),0)</f>
        <v>423529.35581207124</v>
      </c>
      <c r="V136" s="32">
        <f>IFERROR(INDEX($A$112:$J$141,MATCH($Q$134,$AA$112:$AA$141,0),MATCH(V$135,Reykjavík!$A$112:$J$112,0)),0)</f>
        <v>422344.75363469101</v>
      </c>
      <c r="W136" s="32">
        <f>IFERROR(INDEX($A$112:$K$141,MATCH($Q$134,$AA$112:$AA$141,0),MATCH(W$135,Reykjavík!$A$112:$K$112,0)),0)</f>
        <v>419169.78825750481</v>
      </c>
      <c r="AA136" s="13" t="s">
        <v>73</v>
      </c>
      <c r="AB136" s="32">
        <f>INDEX($A$112:$K$141,MATCH(A136,$A$112:$A$141,0),MATCH(Dashboard!$D$4,Reykjavík!$A$112:$K$112,0))</f>
        <v>419169.78825750481</v>
      </c>
    </row>
    <row r="137" spans="1:28" x14ac:dyDescent="0.6">
      <c r="A137" s="13" t="s">
        <v>76</v>
      </c>
      <c r="B137" s="16" t="s">
        <v>181</v>
      </c>
      <c r="C137" s="1069"/>
      <c r="D137" s="56">
        <f t="shared" ref="D137:H137" si="89">D136+D129+D130+D23</f>
        <v>486940.59895135305</v>
      </c>
      <c r="E137" s="56">
        <f t="shared" si="89"/>
        <v>489010.77038443269</v>
      </c>
      <c r="F137" s="56">
        <f t="shared" si="89"/>
        <v>517368.34812865133</v>
      </c>
      <c r="G137" s="56">
        <f t="shared" si="89"/>
        <v>519776.0236555888</v>
      </c>
      <c r="H137" s="693">
        <f t="shared" si="89"/>
        <v>491287.38542259403</v>
      </c>
      <c r="I137" s="693">
        <f>I136+I129+I130+I23</f>
        <v>516636.14628230769</v>
      </c>
      <c r="J137" s="693">
        <f>J136+J129+J130+J23</f>
        <v>508447.66645871405</v>
      </c>
      <c r="K137" s="693">
        <f>K136+K129+K130+K23</f>
        <v>507982.42034149828</v>
      </c>
      <c r="M137" s="32">
        <f>INDEX($A$112:$K$141,MATCH(A137,$A$112:$A$141,0),MATCH(Mælaborð!$D$4,Reykjavík!$A$112:$K$112,0))</f>
        <v>507982.42034149828</v>
      </c>
      <c r="P137" s="376">
        <f>IFERROR(INDEX($A$143:$J$172,MATCH($Q$134,$AA$143:$AA$172,0),MATCH(P$135,Reykjavík!$A$143:$J$143,0)),0)</f>
        <v>3.3234453023402937</v>
      </c>
      <c r="Q137" s="376">
        <f>IFERROR(INDEX($A$143:$J$172,MATCH($Q$134,$AA$143:$AA$172,0),MATCH(Q$135,Reykjavík!$A$143:$J$143,0)),0)</f>
        <v>3.4124941168165144</v>
      </c>
      <c r="R137" s="376">
        <f>IFERROR(INDEX($A$143:$J$172,MATCH($Q$134,$AA$143:$AA$172,0),MATCH(R$135,Reykjavík!$A$143:$J$143,0)),0)</f>
        <v>3.4681203602946704</v>
      </c>
      <c r="S137" s="376">
        <f>IFERROR(INDEX($A$143:$J$172,MATCH($Q$134,$AA$143:$AA$172,0),MATCH(S$135,Reykjavík!$A$143:$J$143,0)),0)</f>
        <v>3.4359872887578664</v>
      </c>
      <c r="T137" s="376">
        <f>IFERROR(INDEX($A$143:$K$172,MATCH($Q$134,$AA$143:$AA$172,0),MATCH(T$135,Reykjavík!$A$143:$K$143,0)),0)</f>
        <v>3.179810495981453</v>
      </c>
      <c r="U137" s="376">
        <f>IFERROR(INDEX($A$143:$J$172,MATCH($Q$134,$AA$143:$AA$172,0),MATCH(U$135,Reykjavík!$A$143:$J$143,0)),0)</f>
        <v>3.2931292730897384</v>
      </c>
      <c r="V137" s="376">
        <f>IFERROR(INDEX($A$143:$J$172,MATCH($Q$134,$AA$143:$AA$172,0),MATCH(V$135,Reykjavík!$A$143:$J$143,0)),0)</f>
        <v>3.2329395247530659</v>
      </c>
      <c r="W137" s="376">
        <f>IFERROR(INDEX($A$143:$K$172,MATCH($Q$134,$AA$143:$AA$172,0),MATCH(W$135,Reykjavík!$A$143:$K$143,0)),0)</f>
        <v>3.1211915907720504</v>
      </c>
      <c r="AA137" s="13" t="s">
        <v>76</v>
      </c>
      <c r="AB137" s="32">
        <f>INDEX($A$112:$K$141,MATCH(A137,$A$112:$A$141,0),MATCH(Dashboard!$D$4,Reykjavík!$A$112:$K$112,0))</f>
        <v>507982.42034149828</v>
      </c>
    </row>
    <row r="138" spans="1:28" x14ac:dyDescent="0.6">
      <c r="A138" s="13" t="s">
        <v>234</v>
      </c>
      <c r="B138" s="16" t="s">
        <v>181</v>
      </c>
      <c r="C138" s="17"/>
      <c r="D138" s="56">
        <f t="shared" ref="D138:H138" si="90">D137+D133+D134</f>
        <v>523847.80749460752</v>
      </c>
      <c r="E138" s="56">
        <f t="shared" si="90"/>
        <v>528532.02774516051</v>
      </c>
      <c r="F138" s="56">
        <f t="shared" si="90"/>
        <v>569808.41713374341</v>
      </c>
      <c r="G138" s="56">
        <f t="shared" si="90"/>
        <v>575747.46762807423</v>
      </c>
      <c r="H138" s="693">
        <f t="shared" si="90"/>
        <v>557074.2384277198</v>
      </c>
      <c r="I138" s="693">
        <f>I137+I133+I134</f>
        <v>592755.74141595082</v>
      </c>
      <c r="J138" s="693">
        <f>J137+J133+J134</f>
        <v>611786.72273894702</v>
      </c>
      <c r="K138" s="693">
        <f>K137+K133+K134</f>
        <v>596770.59800662799</v>
      </c>
      <c r="M138" s="32">
        <f>INDEX($A$112:$K$141,MATCH(A138,$A$112:$A$141,0),MATCH(Mælaborð!$D$4,Reykjavík!$A$112:$K$112,0))</f>
        <v>596770.59800662799</v>
      </c>
      <c r="P138" s="32"/>
      <c r="Q138" s="32"/>
      <c r="R138" s="32"/>
      <c r="S138" s="32"/>
      <c r="T138" s="32"/>
      <c r="U138" s="25"/>
      <c r="AA138" s="13" t="s">
        <v>234</v>
      </c>
      <c r="AB138" s="32">
        <f>INDEX($A$112:$K$141,MATCH(A138,$A$112:$A$141,0),MATCH(Dashboard!$D$4,Reykjavík!$A$112:$K$112,0))</f>
        <v>596770.59800662799</v>
      </c>
    </row>
    <row r="139" spans="1:28" x14ac:dyDescent="0.6">
      <c r="A139" s="1" t="s">
        <v>80</v>
      </c>
      <c r="B139" s="16" t="s">
        <v>181</v>
      </c>
      <c r="C139" s="3"/>
      <c r="D139" s="56">
        <f>D121+D126-D124+D129+D130+D134</f>
        <v>464050.09860020329</v>
      </c>
      <c r="E139" s="1071">
        <f>E121+E126-E124+E129+E135</f>
        <v>538966.82818483282</v>
      </c>
      <c r="F139" s="1071">
        <f>F121+F126-F124+F129+F135</f>
        <v>592261.97165579605</v>
      </c>
      <c r="G139" s="1071">
        <f>G121+G126-G124+G129+G135</f>
        <v>606965.29186831287</v>
      </c>
      <c r="H139" s="693">
        <f>H121+H126-H124+H129+H135</f>
        <v>597896.27388075762</v>
      </c>
      <c r="I139" s="693">
        <f>I121+I126-I124+I129+I132+I130</f>
        <v>488130.78711503383</v>
      </c>
      <c r="J139" s="693">
        <f>J121+J126-J124+J129+J132+J130</f>
        <v>478851.16934710491</v>
      </c>
      <c r="K139" s="693">
        <f>K121+K126-K124+K129+K132+K130</f>
        <v>478010.17703949875</v>
      </c>
      <c r="L139" s="811"/>
      <c r="M139" s="32">
        <f>INDEX($A$112:$K$141,MATCH(A139,$A$112:$A$141,0),MATCH(Mælaborð!$D$4,Reykjavík!$A$112:$K$112,0))</f>
        <v>478010.17703949875</v>
      </c>
      <c r="P139" t="str">
        <f>Dashboard!$B$89</f>
        <v>Summary -</v>
      </c>
      <c r="Q139" t="str">
        <f>Dashboard!$C$89</f>
        <v>BASIC+</v>
      </c>
      <c r="U139" s="25"/>
      <c r="AA139" s="1" t="s">
        <v>45</v>
      </c>
      <c r="AB139" s="32">
        <f>INDEX($A$112:$K$141,MATCH(A139,$A$112:$A$141,0),MATCH(Dashboard!$D$4,Reykjavík!$A$112:$K$112,0))</f>
        <v>478010.17703949875</v>
      </c>
    </row>
    <row r="140" spans="1:28" x14ac:dyDescent="0.6">
      <c r="A140" s="1" t="s">
        <v>81</v>
      </c>
      <c r="B140" s="16" t="s">
        <v>181</v>
      </c>
      <c r="C140" s="3"/>
      <c r="D140" s="56">
        <f>D115-D23</f>
        <v>24057.260000000002</v>
      </c>
      <c r="E140" s="1071">
        <f>E115</f>
        <v>23537.66</v>
      </c>
      <c r="F140" s="1071">
        <f>F115</f>
        <v>22691.084442239502</v>
      </c>
      <c r="G140" s="1071">
        <f>G115</f>
        <v>22889.661353191594</v>
      </c>
      <c r="H140" s="693">
        <f>H115</f>
        <v>24295.513336593594</v>
      </c>
      <c r="I140" s="693">
        <f>I115-I23</f>
        <v>23381.747036490189</v>
      </c>
      <c r="J140" s="693">
        <f>J115-J23</f>
        <v>24790.732991999997</v>
      </c>
      <c r="K140" s="693">
        <f>K115-K23</f>
        <v>23463.731116357594</v>
      </c>
      <c r="L140" s="811"/>
      <c r="M140" s="32">
        <f>INDEX($A$112:$K$141,MATCH(A140,$A$112:$A$141,0),MATCH(Mælaborð!$D$4,Reykjavík!$A$112:$K$112,0))</f>
        <v>23463.731116357594</v>
      </c>
      <c r="P140">
        <v>2016</v>
      </c>
      <c r="Q140">
        <v>2017</v>
      </c>
      <c r="R140">
        <v>2018</v>
      </c>
      <c r="S140">
        <v>2019</v>
      </c>
      <c r="T140">
        <v>2020</v>
      </c>
      <c r="U140">
        <v>2021</v>
      </c>
      <c r="V140">
        <v>2022</v>
      </c>
      <c r="W140">
        <v>2023</v>
      </c>
      <c r="AA140" s="1" t="s">
        <v>46</v>
      </c>
      <c r="AB140" s="32">
        <f>INDEX($A$112:$K$141,MATCH(A140,$A$112:$A$141,0),MATCH(Dashboard!$D$4,Reykjavík!$A$112:$K$112,0))</f>
        <v>23463.731116357594</v>
      </c>
    </row>
    <row r="141" spans="1:28" x14ac:dyDescent="0.6">
      <c r="A141" s="1" t="s">
        <v>82</v>
      </c>
      <c r="B141" s="16" t="s">
        <v>181</v>
      </c>
      <c r="C141" s="3"/>
      <c r="D141" s="1071">
        <f t="shared" ref="D141:J141" si="91">D124+D133+D23+D134</f>
        <v>41216.505027658743</v>
      </c>
      <c r="E141" s="1071">
        <f t="shared" si="91"/>
        <v>43995.67378105547</v>
      </c>
      <c r="F141" s="1071">
        <f t="shared" si="91"/>
        <v>57121.034607539536</v>
      </c>
      <c r="G141" s="1071">
        <f t="shared" si="91"/>
        <v>60256.650696247016</v>
      </c>
      <c r="H141" s="693">
        <f t="shared" si="91"/>
        <v>70303.536621487816</v>
      </c>
      <c r="I141" s="693">
        <f t="shared" si="91"/>
        <v>81243.207264426746</v>
      </c>
      <c r="J141" s="693">
        <f t="shared" si="91"/>
        <v>108144.82039984209</v>
      </c>
      <c r="K141" s="693">
        <f>K124+K133+K23+K134</f>
        <v>95296.689850771611</v>
      </c>
      <c r="L141" s="811"/>
      <c r="M141" s="32">
        <f>INDEX($A$112:$K$141,MATCH(A141,$A$112:$A$141,0),MATCH(Mælaborð!$D$4,Reykjavík!$A$112:$K$112,0))</f>
        <v>95296.689850771611</v>
      </c>
      <c r="P141" s="32">
        <f>INDEX($A$112:$K$141,MATCH($Q$139,$AA$112:$AA$141,0),MATCH(P$140,Reykjavík!$A$112:$K$112,0))</f>
        <v>486940.59895135305</v>
      </c>
      <c r="Q141" s="32">
        <f>INDEX($A$112:$K$141,MATCH($Q$139,$AA$112:$AA$141,0),MATCH(Q$140,Reykjavík!$A$112:$K$112,0))</f>
        <v>489010.77038443269</v>
      </c>
      <c r="R141" s="32">
        <f>INDEX($A$112:$K$141,MATCH($Q$139,$AA$112:$AA$141,0),MATCH(R$140,Reykjavík!$A$112:$K$112,0))</f>
        <v>517368.34812865133</v>
      </c>
      <c r="S141" s="32">
        <f>INDEX($A$112:$K$141,MATCH($Q$139,$AA$112:$AA$141,0),MATCH(S$140,Reykjavík!$A$112:$K$112,0))</f>
        <v>519776.0236555888</v>
      </c>
      <c r="T141" s="32">
        <f>INDEX($A$112:$K$141,MATCH($Q$139,$AA$112:$AA$141,0),MATCH(T$140,Reykjavík!$A$112:$K$112,0))</f>
        <v>491287.38542259403</v>
      </c>
      <c r="U141" s="32">
        <f>INDEX($A$112:$K$141,MATCH($Q$139,$AA$112:$AA$141,0),MATCH(U$140,Reykjavík!$A$112:$K$112,0))</f>
        <v>516636.14628230769</v>
      </c>
      <c r="V141" s="32">
        <f>INDEX($A$112:$K$141,MATCH($Q$139,$AA$112:$AA$141,0),MATCH(V$140,Reykjavík!$A$112:$K$112,0))</f>
        <v>508447.66645871405</v>
      </c>
      <c r="W141" s="32">
        <f>INDEX($A$112:$K$141,MATCH($Q$139,$AA$112:$AA$141,0),MATCH(W$140,Reykjavík!$A$112:$K$112,0))</f>
        <v>507982.42034149828</v>
      </c>
      <c r="AA141" s="1" t="s">
        <v>47</v>
      </c>
      <c r="AB141" s="32">
        <f>INDEX($A$112:$K$141,MATCH(A141,$A$112:$A$141,0),MATCH(Dashboard!$D$4,Reykjavík!$A$112:$K$112,0))</f>
        <v>95296.689850771611</v>
      </c>
    </row>
    <row r="142" spans="1:28" x14ac:dyDescent="0.6">
      <c r="A142" s="1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2">
        <f>J141+J140+J139</f>
        <v>611786.72273894702</v>
      </c>
      <c r="M142" s="811"/>
      <c r="P142" s="376">
        <f>INDEX($A$143:$K$172,MATCH($Q$139,$AA$143:$AA$172,0),MATCH(Reykjavík!P$140,Reykjavík!$A$112:$J$112,0))</f>
        <v>4.0828115217358931</v>
      </c>
      <c r="Q142" s="376">
        <f>INDEX($A$143:$J$172,MATCH($Q$139,$AA$143:$AA$172,0),MATCH(Reykjavík!Q$140,Reykjavík!$A$112:$J$112,0))</f>
        <v>4.0577429022962894</v>
      </c>
      <c r="R142" s="376">
        <f>INDEX($A$143:$J$172,MATCH($Q$139,$AA$143:$AA$172,0),MATCH(Reykjavík!R$140,Reykjavík!$A$112:$J$112,0))</f>
        <v>4.2014304588126725</v>
      </c>
      <c r="S142" s="376">
        <f>INDEX($A$143:$J$172,MATCH($Q$139,$AA$143:$AA$172,0),MATCH(Reykjavík!S$140,Reykjavík!$A$112:$J$112,0))</f>
        <v>4.1462669404561963</v>
      </c>
      <c r="T142" s="376">
        <f>INDEX($A$143:$J$172,MATCH($Q$139,$AA$143:$AA$172,0),MATCH(Reykjavík!T$140,Reykjavík!$A$112:$J$112,0))</f>
        <v>3.8821909728452537</v>
      </c>
      <c r="U142" s="376">
        <f>INDEX($A$143:$J$172,MATCH($Q$139,$AA$143:$AA$172,0),MATCH(Reykjavík!U$140,Reykjavík!$A$112:$J$112,0))</f>
        <v>4.0170760149467979</v>
      </c>
      <c r="V142" s="376">
        <f>INDEX($A$143:$J$172,MATCH($Q$139,$AA$143:$AA$172,0),MATCH(Reykjavík!V$140,Reykjavík!$A$112:$J$112,0))</f>
        <v>3.8920349856757914</v>
      </c>
      <c r="W142" s="376">
        <f>INDEX($A$143:$K$172,MATCH($Q$139,$AA$143:$AA$172,0),MATCH(Reykjavík!W$140,Reykjavík!$A$112:$K$112,0))</f>
        <v>3.782501752382748</v>
      </c>
    </row>
    <row r="143" spans="1:28" x14ac:dyDescent="0.6">
      <c r="A143" s="6" t="s">
        <v>222</v>
      </c>
      <c r="B143" s="4" t="s">
        <v>2</v>
      </c>
      <c r="C143" s="5">
        <v>2015</v>
      </c>
      <c r="D143" s="5">
        <v>2016</v>
      </c>
      <c r="E143" s="5">
        <v>2017</v>
      </c>
      <c r="F143" s="5">
        <v>2018</v>
      </c>
      <c r="G143" s="5">
        <v>2019</v>
      </c>
      <c r="H143" s="5">
        <v>2020</v>
      </c>
      <c r="I143" s="5">
        <v>2021</v>
      </c>
      <c r="J143" s="5">
        <v>2022</v>
      </c>
      <c r="K143" s="5">
        <v>2023</v>
      </c>
      <c r="M143" s="32">
        <f>INDEX($A$143:$K$172,MATCH(A143,$A$143:$A$172,0),MATCH(Mælaborð!$D$4,Reykjavík!$A$112:$K$112,0))</f>
        <v>2023</v>
      </c>
      <c r="AA143" s="6" t="s">
        <v>1034</v>
      </c>
      <c r="AB143" s="32">
        <f>INDEX($A$143:$K$172,MATCH(A143,$A$143:$A$172,0),MATCH(Dashboard!$D$4,Reykjavík!$A$112:$K$112,0))</f>
        <v>2023</v>
      </c>
    </row>
    <row r="144" spans="1:28" x14ac:dyDescent="0.6">
      <c r="A144" s="13" t="s">
        <v>83</v>
      </c>
      <c r="B144" s="16" t="s">
        <v>181</v>
      </c>
      <c r="C144" s="1072">
        <f t="shared" ref="C144:H144" si="92">C115/C$4</f>
        <v>0</v>
      </c>
      <c r="D144" s="1072">
        <f t="shared" si="92"/>
        <v>0.20171096540506098</v>
      </c>
      <c r="E144" s="1072">
        <f t="shared" si="92"/>
        <v>0.19531220698181939</v>
      </c>
      <c r="F144" s="1072">
        <f t="shared" si="92"/>
        <v>0.18426912597948289</v>
      </c>
      <c r="G144" s="1072">
        <f t="shared" si="92"/>
        <v>0.18259142751429158</v>
      </c>
      <c r="H144" s="707">
        <f t="shared" si="92"/>
        <v>0.19198502822300922</v>
      </c>
      <c r="I144" s="707">
        <f t="shared" ref="I144" si="93">I115/I$4</f>
        <v>0.18393695730122409</v>
      </c>
      <c r="J144" s="707">
        <f>J115/J$4</f>
        <v>0.19199101204856167</v>
      </c>
      <c r="K144" s="707">
        <f>K115/K$4</f>
        <v>0.17680304338090741</v>
      </c>
      <c r="M144" s="376">
        <f>INDEX($A$143:$K$172,MATCH(A144,$A$143:$A$172,0),MATCH(Mælaborð!$D$4,Reykjavík!$A$143:$K$143,0))</f>
        <v>0.17680304338090741</v>
      </c>
      <c r="AA144" s="13" t="s">
        <v>48</v>
      </c>
      <c r="AB144" s="376">
        <f>INDEX($A$143:$K$172,MATCH(A144,$A$143:$A$172,0),MATCH(Dashboard!$D$4,Reykjavík!$A$112:$K$112,0))</f>
        <v>0.17680304338090741</v>
      </c>
    </row>
    <row r="145" spans="1:28" x14ac:dyDescent="0.6">
      <c r="A145" s="13" t="s">
        <v>84</v>
      </c>
      <c r="B145" s="16" t="s">
        <v>181</v>
      </c>
      <c r="C145" s="1072">
        <f t="shared" ref="C145:H146" si="94">C113/C$4</f>
        <v>0</v>
      </c>
      <c r="D145" s="1072">
        <f t="shared" si="94"/>
        <v>7.3369443093589115E-2</v>
      </c>
      <c r="E145" s="1072">
        <f t="shared" si="94"/>
        <v>7.2952627517363269E-2</v>
      </c>
      <c r="F145" s="1072">
        <f t="shared" si="94"/>
        <v>5.358030584646465E-2</v>
      </c>
      <c r="G145" s="1072">
        <f t="shared" si="94"/>
        <v>5.2622697456856965E-2</v>
      </c>
      <c r="H145" s="707">
        <f t="shared" si="94"/>
        <v>5.281441446865319E-2</v>
      </c>
      <c r="I145" s="707">
        <f t="shared" ref="I145" si="95">I113/I$4</f>
        <v>4.8595521954050459E-2</v>
      </c>
      <c r="J145" s="707">
        <f>J113/J$4</f>
        <v>5.0666389810009337E-2</v>
      </c>
      <c r="K145" s="707">
        <f>K113/K$4</f>
        <v>4.6958250457706761E-2</v>
      </c>
      <c r="M145" s="376">
        <f>INDEX($A$143:$K$172,MATCH(A145,$A$143:$A$172,0),MATCH(Mælaborð!$D$4,Reykjavík!$A$143:$K$143,0))</f>
        <v>4.6958250457706761E-2</v>
      </c>
      <c r="P145" s="25" t="s">
        <v>240</v>
      </c>
      <c r="Q145" s="25" t="s">
        <v>241</v>
      </c>
      <c r="R145" s="25" t="s">
        <v>242</v>
      </c>
      <c r="S145" s="25" t="s">
        <v>243</v>
      </c>
      <c r="T145" s="25" t="s">
        <v>244</v>
      </c>
      <c r="U145" s="25" t="s">
        <v>72</v>
      </c>
      <c r="AA145" s="13" t="s">
        <v>49</v>
      </c>
      <c r="AB145" s="376">
        <f>INDEX($A$143:$K$172,MATCH(A145,$A$143:$A$172,0),MATCH(Dashboard!$D$4,Reykjavík!$A$112:$K$112,0))</f>
        <v>4.6958250457706761E-2</v>
      </c>
    </row>
    <row r="146" spans="1:28" x14ac:dyDescent="0.6">
      <c r="A146" s="13" t="s">
        <v>86</v>
      </c>
      <c r="B146" s="16" t="s">
        <v>181</v>
      </c>
      <c r="C146" s="1072">
        <f t="shared" si="94"/>
        <v>0</v>
      </c>
      <c r="D146" s="1072">
        <f t="shared" si="94"/>
        <v>0.12834152231147183</v>
      </c>
      <c r="E146" s="1072">
        <f t="shared" si="94"/>
        <v>0.12235957946445612</v>
      </c>
      <c r="F146" s="1072">
        <f t="shared" si="94"/>
        <v>0.13068882013301825</v>
      </c>
      <c r="G146" s="1072">
        <f t="shared" si="94"/>
        <v>0.12996873005743462</v>
      </c>
      <c r="H146" s="707">
        <f t="shared" si="94"/>
        <v>0.13917061375435605</v>
      </c>
      <c r="I146" s="707">
        <f t="shared" ref="I146:J146" si="96">I114/I$4</f>
        <v>0.13534143534717361</v>
      </c>
      <c r="J146" s="707">
        <f t="shared" si="96"/>
        <v>0.14132462223855233</v>
      </c>
      <c r="K146" s="707">
        <f t="shared" ref="K146" si="97">K114/K$4</f>
        <v>0.12984479292320064</v>
      </c>
      <c r="M146" s="376">
        <f>INDEX($A$143:$K$172,MATCH(A146,$A$143:$A$172,0),MATCH(Mælaborð!$D$4,Reykjavík!$A$143:$K$143,0))</f>
        <v>0.12984479292320064</v>
      </c>
      <c r="P146" t="s">
        <v>48</v>
      </c>
      <c r="Q146" t="s">
        <v>53</v>
      </c>
      <c r="R146" t="s">
        <v>57</v>
      </c>
      <c r="S146" t="s">
        <v>62</v>
      </c>
      <c r="T146" t="s">
        <v>65</v>
      </c>
      <c r="U146" t="s">
        <v>73</v>
      </c>
      <c r="AA146" s="13" t="s">
        <v>51</v>
      </c>
      <c r="AB146" s="376">
        <f>INDEX($A$143:$K$172,MATCH(A146,$A$143:$A$172,0),MATCH(Dashboard!$D$4,Reykjavík!$A$112:$K$112,0))</f>
        <v>0.12984479292320064</v>
      </c>
    </row>
    <row r="147" spans="1:28" x14ac:dyDescent="0.6">
      <c r="A147" s="13" t="s">
        <v>88</v>
      </c>
      <c r="B147" s="16" t="s">
        <v>181</v>
      </c>
      <c r="C147" s="1072">
        <f>C121/C$4</f>
        <v>0</v>
      </c>
      <c r="D147" s="1072">
        <f t="shared" ref="D147:H147" si="98">D121/D$4</f>
        <v>2.5228002202067028</v>
      </c>
      <c r="E147" s="1072">
        <f t="shared" si="98"/>
        <v>2.6163382411065141</v>
      </c>
      <c r="F147" s="1072">
        <f t="shared" si="98"/>
        <v>2.6857263362927157</v>
      </c>
      <c r="G147" s="1072">
        <f t="shared" si="98"/>
        <v>2.7706524280720242</v>
      </c>
      <c r="H147" s="707">
        <f t="shared" si="98"/>
        <v>2.3741746421887284</v>
      </c>
      <c r="I147" s="707">
        <f t="shared" ref="I147:J147" si="99">I121/I$4</f>
        <v>2.4768508226286379</v>
      </c>
      <c r="J147" s="707">
        <f t="shared" si="99"/>
        <v>2.4327876181530241</v>
      </c>
      <c r="K147" s="707">
        <f t="shared" ref="K147" si="100">K121/K$4</f>
        <v>2.3916640075685822</v>
      </c>
      <c r="M147" s="376">
        <f>INDEX($A$143:$K$172,MATCH(A147,$A$143:$A$172,0),MATCH(Mælaborð!$D$4,Reykjavík!$A$143:$K$143,0))</f>
        <v>2.3916640075685822</v>
      </c>
      <c r="P147" t="s">
        <v>49</v>
      </c>
      <c r="Q147" t="s">
        <v>224</v>
      </c>
      <c r="R147" t="s">
        <v>58</v>
      </c>
      <c r="S147" t="s">
        <v>63</v>
      </c>
      <c r="T147" t="s">
        <v>66</v>
      </c>
      <c r="U147" t="s">
        <v>76</v>
      </c>
      <c r="AA147" s="13" t="s">
        <v>53</v>
      </c>
      <c r="AB147" s="376">
        <f>INDEX($A$143:$K$172,MATCH(A147,$A$143:$A$172,0),MATCH(Dashboard!$D$4,Reykjavík!$A$112:$K$112,0))</f>
        <v>2.3916640075685822</v>
      </c>
    </row>
    <row r="148" spans="1:28" x14ac:dyDescent="0.6">
      <c r="A148" s="13" t="s">
        <v>223</v>
      </c>
      <c r="B148" s="16" t="s">
        <v>181</v>
      </c>
      <c r="C148" s="1072">
        <f t="shared" ref="C148:H152" si="101">C116/C$4</f>
        <v>0</v>
      </c>
      <c r="D148" s="1072">
        <f t="shared" si="101"/>
        <v>1.4864984237170995</v>
      </c>
      <c r="E148" s="1072">
        <f t="shared" si="101"/>
        <v>1.5888464891386593</v>
      </c>
      <c r="F148" s="1072">
        <f t="shared" si="101"/>
        <v>1.5985426379882923</v>
      </c>
      <c r="G148" s="1072">
        <f t="shared" si="101"/>
        <v>1.6236180830603335</v>
      </c>
      <c r="H148" s="707">
        <f t="shared" si="101"/>
        <v>1.4417152678300655</v>
      </c>
      <c r="I148" s="707">
        <f t="shared" ref="I148:J148" si="102">I116/I$4</f>
        <v>1.5336423066111164</v>
      </c>
      <c r="J148" s="707">
        <f t="shared" si="102"/>
        <v>1.3792137220717904</v>
      </c>
      <c r="K148" s="707">
        <f t="shared" ref="K148" si="103">K116/K$4</f>
        <v>1.359898325519217</v>
      </c>
      <c r="M148" s="376">
        <f>INDEX($A$143:$K$172,MATCH(A148,$A$143:$A$172,0),MATCH(Mælaborð!$D$4,Reykjavík!$A$143:$K$143,0))</f>
        <v>1.359898325519217</v>
      </c>
      <c r="P148" t="s">
        <v>51</v>
      </c>
      <c r="Q148" t="s">
        <v>226</v>
      </c>
      <c r="R148" t="s">
        <v>59</v>
      </c>
      <c r="S148" t="s">
        <v>64</v>
      </c>
      <c r="T148" s="25" t="s">
        <v>237</v>
      </c>
      <c r="U148" t="s">
        <v>234</v>
      </c>
      <c r="AA148" s="13" t="s">
        <v>224</v>
      </c>
      <c r="AB148" s="376">
        <f>INDEX($A$143:$K$172,MATCH(A148,$A$143:$A$172,0),MATCH(Dashboard!$D$4,Reykjavík!$A$112:$K$112,0))</f>
        <v>1.359898325519217</v>
      </c>
    </row>
    <row r="149" spans="1:28" x14ac:dyDescent="0.6">
      <c r="A149" s="13" t="s">
        <v>225</v>
      </c>
      <c r="B149" s="16" t="s">
        <v>181</v>
      </c>
      <c r="C149" s="1072">
        <f t="shared" si="101"/>
        <v>0</v>
      </c>
      <c r="D149" s="1072">
        <f t="shared" si="101"/>
        <v>0.11087683794627319</v>
      </c>
      <c r="E149" s="1072">
        <f t="shared" si="101"/>
        <v>0.11851090582202933</v>
      </c>
      <c r="F149" s="1072">
        <f t="shared" si="101"/>
        <v>0.11923413452348694</v>
      </c>
      <c r="G149" s="1072">
        <f t="shared" si="101"/>
        <v>0.11915172907783918</v>
      </c>
      <c r="H149" s="707">
        <f t="shared" si="101"/>
        <v>9.2439214008340015E-2</v>
      </c>
      <c r="I149" s="707">
        <f t="shared" ref="I149:J149" si="104">I117/I$4</f>
        <v>7.464324663796626E-2</v>
      </c>
      <c r="J149" s="707">
        <f t="shared" si="104"/>
        <v>0.11199242142053534</v>
      </c>
      <c r="K149" s="707">
        <f t="shared" ref="K149" si="105">K117/K$4</f>
        <v>0.13257488958993088</v>
      </c>
      <c r="M149" s="376">
        <f>INDEX($A$143:$K$172,MATCH(A149,$A$143:$A$172,0),MATCH(Mælaborð!$D$4,Reykjavík!$A$143:$K$143,0))</f>
        <v>0.13257488958993088</v>
      </c>
      <c r="Q149" t="s">
        <v>228</v>
      </c>
      <c r="R149" t="s">
        <v>60</v>
      </c>
      <c r="T149" t="s">
        <v>68</v>
      </c>
      <c r="U149" t="s">
        <v>45</v>
      </c>
      <c r="AA149" s="13" t="s">
        <v>226</v>
      </c>
      <c r="AB149" s="376">
        <f>INDEX($A$143:$K$172,MATCH(A149,$A$143:$A$172,0),MATCH(Dashboard!$D$4,Reykjavík!$A$112:$K$112,0))</f>
        <v>0.13257488958993088</v>
      </c>
    </row>
    <row r="150" spans="1:28" x14ac:dyDescent="0.6">
      <c r="A150" s="13" t="s">
        <v>227</v>
      </c>
      <c r="B150" s="16" t="s">
        <v>181</v>
      </c>
      <c r="C150" s="1072">
        <f t="shared" si="101"/>
        <v>0</v>
      </c>
      <c r="D150" s="1072">
        <f t="shared" si="101"/>
        <v>0.54461122626539538</v>
      </c>
      <c r="E150" s="1072">
        <f t="shared" si="101"/>
        <v>0.58210867969406765</v>
      </c>
      <c r="F150" s="1072">
        <f t="shared" si="101"/>
        <v>0.58566107600394457</v>
      </c>
      <c r="G150" s="1072">
        <f t="shared" si="101"/>
        <v>0.594114282571646</v>
      </c>
      <c r="H150" s="707">
        <f t="shared" si="101"/>
        <v>0.52691963603635517</v>
      </c>
      <c r="I150" s="707">
        <f t="shared" ref="I150:J150" si="106">I118/I$4</f>
        <v>0.59386749027090846</v>
      </c>
      <c r="J150" s="707">
        <f t="shared" si="106"/>
        <v>0.57094523860556545</v>
      </c>
      <c r="K150" s="707">
        <f t="shared" ref="K150" si="107">K118/K$4</f>
        <v>0.46613369552096318</v>
      </c>
      <c r="M150" s="376">
        <f>INDEX($A$143:$K$172,MATCH(A150,$A$143:$A$172,0),MATCH(Mælaborð!$D$4,Reykjavík!$A$143:$K$143,0))</f>
        <v>0.46613369552096318</v>
      </c>
      <c r="Q150" t="s">
        <v>55</v>
      </c>
      <c r="R150" t="s">
        <v>61</v>
      </c>
      <c r="U150" t="s">
        <v>46</v>
      </c>
      <c r="AA150" s="13" t="s">
        <v>228</v>
      </c>
      <c r="AB150" s="376">
        <f>INDEX($A$143:$K$172,MATCH(A150,$A$143:$A$172,0),MATCH(Dashboard!$D$4,Reykjavík!$A$112:$K$112,0))</f>
        <v>0.46613369552096318</v>
      </c>
    </row>
    <row r="151" spans="1:28" x14ac:dyDescent="0.6">
      <c r="A151" s="13" t="s">
        <v>90</v>
      </c>
      <c r="B151" s="16" t="s">
        <v>181</v>
      </c>
      <c r="C151" s="1072">
        <f t="shared" si="101"/>
        <v>0</v>
      </c>
      <c r="D151" s="1072">
        <f t="shared" si="101"/>
        <v>0.33553078475843912</v>
      </c>
      <c r="E151" s="1072">
        <f t="shared" si="101"/>
        <v>0.28710595537410899</v>
      </c>
      <c r="F151" s="1072">
        <f t="shared" si="101"/>
        <v>0.32280069188978489</v>
      </c>
      <c r="G151" s="1072">
        <f t="shared" si="101"/>
        <v>0.37843012125079772</v>
      </c>
      <c r="H151" s="707">
        <f t="shared" si="101"/>
        <v>0.27720487716220593</v>
      </c>
      <c r="I151" s="707">
        <f t="shared" ref="I151:J151" si="108">I119/I$4</f>
        <v>0.22261099447943394</v>
      </c>
      <c r="J151" s="707">
        <f t="shared" si="108"/>
        <v>0.32517337987415607</v>
      </c>
      <c r="K151" s="707">
        <f t="shared" ref="K151" si="109">K119/K$4</f>
        <v>0.38697523418070262</v>
      </c>
      <c r="M151" s="376">
        <f>INDEX($A$143:$K$172,MATCH(A151,$A$143:$A$172,0),MATCH(Mælaborð!$D$4,Reykjavík!$A$143:$K$143,0))</f>
        <v>0.38697523418070262</v>
      </c>
      <c r="Q151" t="s">
        <v>56</v>
      </c>
      <c r="U151" t="s">
        <v>47</v>
      </c>
      <c r="AA151" s="13" t="s">
        <v>55</v>
      </c>
      <c r="AB151" s="376">
        <f>INDEX($A$143:$K$172,MATCH(A151,$A$143:$A$172,0),MATCH(Dashboard!$D$4,Reykjavík!$A$112:$K$112,0))</f>
        <v>0.38697523418070262</v>
      </c>
    </row>
    <row r="152" spans="1:28" x14ac:dyDescent="0.6">
      <c r="A152" s="13" t="s">
        <v>91</v>
      </c>
      <c r="B152" s="16" t="s">
        <v>181</v>
      </c>
      <c r="C152" s="1072">
        <f t="shared" si="101"/>
        <v>0</v>
      </c>
      <c r="D152" s="1072">
        <f t="shared" si="101"/>
        <v>4.5282947519495562E-2</v>
      </c>
      <c r="E152" s="1072">
        <f t="shared" si="101"/>
        <v>3.9766211077648515E-2</v>
      </c>
      <c r="F152" s="1072">
        <f t="shared" si="101"/>
        <v>5.9487795887207297E-2</v>
      </c>
      <c r="G152" s="1072">
        <f t="shared" si="101"/>
        <v>5.533821211140804E-2</v>
      </c>
      <c r="H152" s="707">
        <f t="shared" si="101"/>
        <v>3.5895647151762203E-2</v>
      </c>
      <c r="I152" s="707">
        <f t="shared" ref="I152" si="110">I120/I$4</f>
        <v>5.208678462921279E-2</v>
      </c>
      <c r="J152" s="707">
        <f>J120/J$4</f>
        <v>4.5462856180976625E-2</v>
      </c>
      <c r="K152" s="707">
        <f>K120/K$4</f>
        <v>4.6081862757768585E-2</v>
      </c>
      <c r="M152" s="376">
        <f>INDEX($A$143:$K$172,MATCH(A152,$A$143:$A$172,0),MATCH(Mælaborð!$D$4,Reykjavík!$A$143:$K$143,0))</f>
        <v>4.6081862757768585E-2</v>
      </c>
      <c r="AA152" s="13" t="s">
        <v>56</v>
      </c>
      <c r="AB152" s="376">
        <f>INDEX($A$143:$K$172,MATCH(A152,$A$143:$A$172,0),MATCH(Dashboard!$D$4,Reykjavík!$A$112:$K$112,0))</f>
        <v>4.6081862757768585E-2</v>
      </c>
    </row>
    <row r="153" spans="1:28" x14ac:dyDescent="0.6">
      <c r="A153" s="13" t="s">
        <v>9</v>
      </c>
      <c r="B153" s="16" t="s">
        <v>181</v>
      </c>
      <c r="C153" s="1072">
        <f t="shared" ref="C153:H153" si="111">C126/C$4</f>
        <v>0</v>
      </c>
      <c r="D153" s="1072">
        <f t="shared" si="111"/>
        <v>0.56412148077192847</v>
      </c>
      <c r="E153" s="1072">
        <f t="shared" si="111"/>
        <v>0.55870115597022074</v>
      </c>
      <c r="F153" s="1072">
        <f t="shared" si="111"/>
        <v>0.54689962225517719</v>
      </c>
      <c r="G153" s="1072">
        <f t="shared" si="111"/>
        <v>0.42323577376816524</v>
      </c>
      <c r="H153" s="707">
        <f t="shared" si="111"/>
        <v>0.54358870462046682</v>
      </c>
      <c r="I153" s="707">
        <f t="shared" ref="I153" si="112">I126/I$4</f>
        <v>0.55397890799558291</v>
      </c>
      <c r="J153" s="707">
        <f>J126/J$4</f>
        <v>0.52280105040199853</v>
      </c>
      <c r="K153" s="707">
        <f>K126/K$4</f>
        <v>0.46759653019927161</v>
      </c>
      <c r="M153" s="376">
        <f>INDEX($A$143:$K$172,MATCH(A153,$A$143:$A$172,0),MATCH(Mælaborð!$D$4,Reykjavík!$A$143:$K$143,0))</f>
        <v>0.46759653019927161</v>
      </c>
      <c r="AA153" s="13" t="s">
        <v>57</v>
      </c>
      <c r="AB153" s="376">
        <f>INDEX($A$143:$K$172,MATCH(A153,$A$143:$A$172,0),MATCH(Dashboard!$D$4,Reykjavík!$A$112:$K$112,0))</f>
        <v>0.46759653019927161</v>
      </c>
    </row>
    <row r="154" spans="1:28" x14ac:dyDescent="0.6">
      <c r="A154" s="13" t="s">
        <v>92</v>
      </c>
      <c r="B154" s="16" t="s">
        <v>181</v>
      </c>
      <c r="C154" s="1072">
        <f t="shared" ref="C154:H157" si="113">C122/C$4</f>
        <v>0.49213835638405967</v>
      </c>
      <c r="D154" s="1072">
        <f t="shared" si="113"/>
        <v>0.49843620040882836</v>
      </c>
      <c r="E154" s="1072">
        <f t="shared" si="113"/>
        <v>0.49362099326183123</v>
      </c>
      <c r="F154" s="1072">
        <f t="shared" si="113"/>
        <v>0.48196776099740668</v>
      </c>
      <c r="G154" s="1072">
        <f t="shared" si="113"/>
        <v>0.3650488801127284</v>
      </c>
      <c r="H154" s="707">
        <f t="shared" si="113"/>
        <v>0.48187713355927786</v>
      </c>
      <c r="I154" s="707">
        <f t="shared" ref="I154" si="114">I122/I$4</f>
        <v>0.48622838803276691</v>
      </c>
      <c r="J154" s="707">
        <f t="shared" ref="J154:K157" si="115">J122/J$4</f>
        <v>0.45800264995618967</v>
      </c>
      <c r="K154" s="707">
        <f t="shared" si="115"/>
        <v>0.39100421608734587</v>
      </c>
      <c r="M154" s="376">
        <f>INDEX($A$143:$K$172,MATCH(A154,$A$143:$A$172,0),MATCH(Mælaborð!$D$4,Reykjavík!$A$143:$K$143,0))</f>
        <v>0.39100421608734587</v>
      </c>
      <c r="AA154" s="13" t="s">
        <v>58</v>
      </c>
      <c r="AB154" s="376">
        <f>INDEX($A$143:$K$172,MATCH(A154,$A$143:$A$172,0),MATCH(Dashboard!$D$4,Reykjavík!$A$112:$K$112,0))</f>
        <v>0.39100421608734587</v>
      </c>
    </row>
    <row r="155" spans="1:28" x14ac:dyDescent="0.6">
      <c r="A155" s="13" t="s">
        <v>31</v>
      </c>
      <c r="B155" s="16" t="s">
        <v>181</v>
      </c>
      <c r="C155" s="1072">
        <f t="shared" si="113"/>
        <v>0</v>
      </c>
      <c r="D155" s="1072">
        <f t="shared" si="113"/>
        <v>0</v>
      </c>
      <c r="E155" s="1072">
        <f t="shared" si="113"/>
        <v>0</v>
      </c>
      <c r="F155" s="1072">
        <f t="shared" si="113"/>
        <v>0</v>
      </c>
      <c r="G155" s="1072">
        <f t="shared" si="113"/>
        <v>0</v>
      </c>
      <c r="H155" s="707">
        <f t="shared" si="113"/>
        <v>2.5095602294455071E-4</v>
      </c>
      <c r="I155" s="707">
        <f t="shared" ref="I155" si="116">I123/I$4</f>
        <v>2.1184593656827016E-3</v>
      </c>
      <c r="J155" s="707">
        <f t="shared" si="115"/>
        <v>3.114979260409473E-3</v>
      </c>
      <c r="K155" s="707">
        <f t="shared" si="115"/>
        <v>3.3607947651602002E-3</v>
      </c>
      <c r="M155" s="376">
        <f>INDEX($A$143:$K$172,MATCH(A155,$A$143:$A$172,0),MATCH(Mælaborð!$D$4,Reykjavík!$A$143:$K$143,0))</f>
        <v>3.3607947651602002E-3</v>
      </c>
      <c r="AA155" s="13" t="s">
        <v>59</v>
      </c>
      <c r="AB155" s="376">
        <f>INDEX($A$143:$K$172,MATCH(A155,$A$143:$A$172,0),MATCH(Dashboard!$D$4,Reykjavík!$A$112:$K$112,0))</f>
        <v>3.3607947651602002E-3</v>
      </c>
    </row>
    <row r="156" spans="1:28" x14ac:dyDescent="0.6">
      <c r="A156" s="13" t="s">
        <v>93</v>
      </c>
      <c r="B156" s="16" t="s">
        <v>181</v>
      </c>
      <c r="C156" s="1072">
        <f t="shared" si="113"/>
        <v>0</v>
      </c>
      <c r="D156" s="1072">
        <f t="shared" si="113"/>
        <v>3.6131810276225085E-2</v>
      </c>
      <c r="E156" s="1072">
        <f t="shared" si="113"/>
        <v>3.7128080956640462E-2</v>
      </c>
      <c r="F156" s="1072">
        <f t="shared" si="113"/>
        <v>3.6048414140764894E-2</v>
      </c>
      <c r="G156" s="1072">
        <f t="shared" si="113"/>
        <v>3.2396106146856535E-2</v>
      </c>
      <c r="H156" s="707">
        <f t="shared" si="113"/>
        <v>3.3372497928616962E-2</v>
      </c>
      <c r="I156" s="707">
        <f t="shared" ref="I156" si="117">I124/I$4</f>
        <v>3.7704899220616185E-2</v>
      </c>
      <c r="J156" s="707">
        <f t="shared" si="115"/>
        <v>3.4562495442437453E-2</v>
      </c>
      <c r="K156" s="707">
        <f t="shared" si="115"/>
        <v>4.6374094789426563E-2</v>
      </c>
      <c r="M156" s="376">
        <f>INDEX($A$143:$K$172,MATCH(A156,$A$143:$A$172,0),MATCH(Mælaborð!$D$4,Reykjavík!$A$143:$K$143,0))</f>
        <v>4.6374094789426563E-2</v>
      </c>
      <c r="AA156" s="13" t="s">
        <v>60</v>
      </c>
      <c r="AB156" s="376">
        <f>INDEX($A$143:$K$172,MATCH(A156,$A$143:$A$172,0),MATCH(Dashboard!$D$4,Reykjavík!$A$112:$K$112,0))</f>
        <v>4.6374094789426563E-2</v>
      </c>
    </row>
    <row r="157" spans="1:28" x14ac:dyDescent="0.6">
      <c r="A157" s="13" t="s">
        <v>33</v>
      </c>
      <c r="B157" s="16" t="s">
        <v>181</v>
      </c>
      <c r="C157" s="1072">
        <f t="shared" si="113"/>
        <v>3.072663923290344E-2</v>
      </c>
      <c r="D157" s="1072">
        <f t="shared" si="113"/>
        <v>2.9553470086875026E-2</v>
      </c>
      <c r="E157" s="1072">
        <f t="shared" si="113"/>
        <v>2.7952081751749052E-2</v>
      </c>
      <c r="F157" s="1072">
        <f t="shared" si="113"/>
        <v>2.8883447117005596E-2</v>
      </c>
      <c r="G157" s="1072">
        <f t="shared" si="113"/>
        <v>2.5790787508580309E-2</v>
      </c>
      <c r="H157" s="707">
        <f t="shared" si="113"/>
        <v>2.8088117109627456E-2</v>
      </c>
      <c r="I157" s="707">
        <f t="shared" ref="I157" si="118">I125/I$4</f>
        <v>2.7927161376517132E-2</v>
      </c>
      <c r="J157" s="707">
        <f t="shared" si="115"/>
        <v>2.7120925742961939E-2</v>
      </c>
      <c r="K157" s="707">
        <f t="shared" si="115"/>
        <v>2.6857424557338999E-2</v>
      </c>
      <c r="M157" s="376">
        <f>INDEX($A$143:$K$172,MATCH(A157,$A$143:$A$172,0),MATCH(Mælaborð!$D$4,Reykjavík!$A$143:$K$143,0))</f>
        <v>2.6857424557338999E-2</v>
      </c>
      <c r="AA157" s="13" t="s">
        <v>61</v>
      </c>
      <c r="AB157" s="376">
        <f>INDEX($A$143:$K$172,MATCH(A157,$A$143:$A$172,0),MATCH(Dashboard!$D$4,Reykjavík!$A$112:$K$112,0))</f>
        <v>2.6857424557338999E-2</v>
      </c>
    </row>
    <row r="158" spans="1:28" x14ac:dyDescent="0.6">
      <c r="A158" s="13" t="s">
        <v>95</v>
      </c>
      <c r="B158" s="16" t="s">
        <v>181</v>
      </c>
      <c r="C158" s="1072">
        <f t="shared" ref="C158:H158" si="119">C129/C$4</f>
        <v>0</v>
      </c>
      <c r="D158" s="1072">
        <f t="shared" si="119"/>
        <v>0.39618711065804235</v>
      </c>
      <c r="E158" s="1072">
        <f t="shared" si="119"/>
        <v>0.3955377418456546</v>
      </c>
      <c r="F158" s="1072">
        <f t="shared" si="119"/>
        <v>0.38259900837189686</v>
      </c>
      <c r="G158" s="1072">
        <f t="shared" si="119"/>
        <v>0.37597324663972453</v>
      </c>
      <c r="H158" s="707">
        <f t="shared" si="119"/>
        <v>0.37988782626431711</v>
      </c>
      <c r="I158" s="707">
        <f t="shared" ref="I158" si="120">I129/I$4</f>
        <v>0.37381284740308551</v>
      </c>
      <c r="J158" s="707">
        <f>J129/J$4</f>
        <v>0.36733042489185941</v>
      </c>
      <c r="K158" s="707">
        <f>K129/K$4</f>
        <v>0.35479112866372942</v>
      </c>
      <c r="M158" s="376">
        <f>INDEX($A$143:$K$172,MATCH(A158,$A$143:$A$172,0),MATCH(Mælaborð!$D$4,Reykjavík!$A$143:$K$143,0))</f>
        <v>0.35479112866372942</v>
      </c>
      <c r="AA158" s="13" t="s">
        <v>236</v>
      </c>
      <c r="AB158" s="376">
        <f>INDEX($A$143:$K$172,MATCH(A158,$A$143:$A$172,0),MATCH(Dashboard!$D$4,Reykjavík!$A$112:$K$112,0))</f>
        <v>0.35479112866372942</v>
      </c>
    </row>
    <row r="159" spans="1:28" x14ac:dyDescent="0.6">
      <c r="A159" s="13" t="s">
        <v>233</v>
      </c>
      <c r="B159" s="16" t="s">
        <v>181</v>
      </c>
      <c r="C159" s="1072">
        <f t="shared" ref="C159:H160" si="121">C127/C$4</f>
        <v>0</v>
      </c>
      <c r="D159" s="1072">
        <f t="shared" si="121"/>
        <v>1.5340934882884304E-2</v>
      </c>
      <c r="E159" s="1072">
        <f t="shared" si="121"/>
        <v>1.8632345747308328E-2</v>
      </c>
      <c r="F159" s="1072">
        <f t="shared" si="121"/>
        <v>1.3737297000379638E-2</v>
      </c>
      <c r="G159" s="1072">
        <f t="shared" si="121"/>
        <v>1.3640764189182062E-2</v>
      </c>
      <c r="H159" s="707">
        <f t="shared" si="121"/>
        <v>2.0959664050471116E-2</v>
      </c>
      <c r="I159" s="707">
        <f t="shared" ref="I159" si="122">I127/I$4</f>
        <v>2.0636578061665765E-2</v>
      </c>
      <c r="J159" s="707">
        <f>J127/J$4</f>
        <v>1.9636798228866999E-2</v>
      </c>
      <c r="K159" s="707">
        <f>K127/K$4</f>
        <v>1.6573135841796108E-2</v>
      </c>
      <c r="M159" s="376">
        <f>INDEX($A$143:$K$172,MATCH(A159,$A$143:$A$172,0),MATCH(Mælaborð!$D$4,Reykjavík!$A$143:$K$143,0))</f>
        <v>1.6573135841796108E-2</v>
      </c>
      <c r="AA159" s="13" t="s">
        <v>63</v>
      </c>
      <c r="AB159" s="376">
        <f>INDEX($A$143:$K$172,MATCH(A159,$A$143:$A$172,0),MATCH(Dashboard!$D$4,Reykjavík!$A$112:$K$112,0))</f>
        <v>1.6573135841796108E-2</v>
      </c>
    </row>
    <row r="160" spans="1:28" x14ac:dyDescent="0.6">
      <c r="A160" s="13" t="s">
        <v>97</v>
      </c>
      <c r="B160" s="16" t="s">
        <v>181</v>
      </c>
      <c r="C160" s="1072">
        <f t="shared" si="121"/>
        <v>0</v>
      </c>
      <c r="D160" s="1072">
        <f t="shared" si="121"/>
        <v>0.38084617577515806</v>
      </c>
      <c r="E160" s="1072">
        <f t="shared" si="121"/>
        <v>0.37690539609834622</v>
      </c>
      <c r="F160" s="1072">
        <f t="shared" si="121"/>
        <v>0.36886171137151719</v>
      </c>
      <c r="G160" s="1072">
        <f t="shared" si="121"/>
        <v>0.36233248245054245</v>
      </c>
      <c r="H160" s="707">
        <f t="shared" si="121"/>
        <v>0.35892816221384605</v>
      </c>
      <c r="I160" s="707">
        <f t="shared" ref="I160:J160" si="123">I128/I$4</f>
        <v>0.35317626934141982</v>
      </c>
      <c r="J160" s="707">
        <f t="shared" si="123"/>
        <v>0.34769362666299242</v>
      </c>
      <c r="K160" s="707">
        <f t="shared" ref="K160" si="124">K128/K$4</f>
        <v>0.33821799282193332</v>
      </c>
      <c r="M160" s="376">
        <f>INDEX($A$143:$K$172,MATCH(A160,$A$143:$A$172,0),MATCH(Mælaborð!$D$4,Reykjavík!$A$143:$K$143,0))</f>
        <v>0.33821799282193332</v>
      </c>
      <c r="AA160" s="13" t="s">
        <v>64</v>
      </c>
      <c r="AB160" s="376">
        <f>INDEX($A$143:$K$172,MATCH(A160,$A$143:$A$172,0),MATCH(Dashboard!$D$4,Reykjavík!$A$112:$K$112,0))</f>
        <v>0.33821799282193332</v>
      </c>
    </row>
    <row r="161" spans="1:28" x14ac:dyDescent="0.6">
      <c r="A161" s="13" t="s">
        <v>98</v>
      </c>
      <c r="B161" s="16" t="s">
        <v>181</v>
      </c>
      <c r="C161" s="1072">
        <f t="shared" ref="C161:H161" si="125">C135/C$4</f>
        <v>0</v>
      </c>
      <c r="D161" s="1072">
        <f t="shared" si="125"/>
        <v>0.97098288175966296</v>
      </c>
      <c r="E161" s="1072">
        <f t="shared" si="125"/>
        <v>0.93882221720649706</v>
      </c>
      <c r="F161" s="1072">
        <f t="shared" si="125"/>
        <v>1.2304479561643493</v>
      </c>
      <c r="G161" s="1072">
        <f t="shared" si="125"/>
        <v>1.3043126719323608</v>
      </c>
      <c r="H161" s="707">
        <f t="shared" si="125"/>
        <v>1.4603439918122321</v>
      </c>
      <c r="I161" s="707">
        <f t="shared" ref="I161:J161" si="126">I135/I$4</f>
        <v>1.6297305633881383</v>
      </c>
      <c r="J161" s="707">
        <f t="shared" si="126"/>
        <v>1.8311877246071839</v>
      </c>
      <c r="K161" s="707">
        <f t="shared" ref="K161" si="127">K135/K$4</f>
        <v>1.7130252628351141</v>
      </c>
      <c r="M161" s="376">
        <f>INDEX($A$143:$K$172,MATCH(A161,$A$143:$A$172,0),MATCH(Mælaborð!$D$4,Reykjavík!$A$143:$K$143,0))</f>
        <v>1.7130252628351141</v>
      </c>
      <c r="AA161" s="13" t="s">
        <v>65</v>
      </c>
      <c r="AB161" s="376">
        <f>INDEX($A$143:$K$172,MATCH(A161,$A$143:$A$172,0),MATCH(Dashboard!$D$4,Reykjavík!$A$112:$K$112,0))</f>
        <v>1.7130252628351141</v>
      </c>
    </row>
    <row r="162" spans="1:28" x14ac:dyDescent="0.6">
      <c r="A162" s="13" t="s">
        <v>25</v>
      </c>
      <c r="B162" s="16" t="s">
        <v>181</v>
      </c>
      <c r="C162" s="1072">
        <f t="shared" ref="C162:H162" si="128">C130/C$4</f>
        <v>0</v>
      </c>
      <c r="D162" s="1072">
        <f t="shared" si="128"/>
        <v>0.36317910873755704</v>
      </c>
      <c r="E162" s="1072">
        <f t="shared" si="128"/>
        <v>0.24971104363412017</v>
      </c>
      <c r="F162" s="1072">
        <f t="shared" si="128"/>
        <v>0.34874644931373011</v>
      </c>
      <c r="G162" s="1072">
        <f t="shared" si="128"/>
        <v>0.33251930504910049</v>
      </c>
      <c r="H162" s="707">
        <f t="shared" si="128"/>
        <v>0.32017396474662374</v>
      </c>
      <c r="I162" s="707">
        <f t="shared" ref="I162:J163" si="129">I130/I$4</f>
        <v>0.34800042861134733</v>
      </c>
      <c r="J162" s="707">
        <f t="shared" si="129"/>
        <v>0.28954065384497879</v>
      </c>
      <c r="K162" s="707">
        <f t="shared" ref="K162" si="130">K130/K$4</f>
        <v>0.30442991766891858</v>
      </c>
      <c r="M162" s="376">
        <f>INDEX($A$143:$K$172,MATCH(A162,$A$143:$A$172,0),MATCH(Mælaborð!$D$4,Reykjavík!$A$143:$K$143,0))</f>
        <v>0.30442991766891858</v>
      </c>
      <c r="AA162" s="13" t="s">
        <v>66</v>
      </c>
      <c r="AB162" s="376">
        <f>INDEX($A$143:$K$172,MATCH(A162,$A$143:$A$172,0),MATCH(Dashboard!$D$4,Reykjavík!$A$112:$K$112,0))</f>
        <v>0.30442991766891858</v>
      </c>
    </row>
    <row r="163" spans="1:28" x14ac:dyDescent="0.6">
      <c r="A163" s="13" t="s">
        <v>208</v>
      </c>
      <c r="B163" s="16" t="s">
        <v>181</v>
      </c>
      <c r="C163" s="1072">
        <f>C131/C$4</f>
        <v>0.22328193109311606</v>
      </c>
      <c r="D163" s="1072">
        <f t="shared" ref="D163:H163" si="131">D131/D$4</f>
        <v>0.26353824568611339</v>
      </c>
      <c r="E163" s="1072">
        <f t="shared" si="131"/>
        <v>0.31902680092604113</v>
      </c>
      <c r="F163" s="1072">
        <f t="shared" si="131"/>
        <v>0.40265773974549501</v>
      </c>
      <c r="G163" s="1072">
        <f t="shared" si="131"/>
        <v>0.46401293442884489</v>
      </c>
      <c r="H163" s="707">
        <f t="shared" si="131"/>
        <v>0.54793641221977263</v>
      </c>
      <c r="I163" s="707">
        <f t="shared" si="129"/>
        <v>0.60937034740688911</v>
      </c>
      <c r="J163" s="707">
        <f t="shared" si="129"/>
        <v>0.66302917673265049</v>
      </c>
      <c r="K163" s="707">
        <f t="shared" ref="K163" si="132">K131/K$4</f>
        <v>0.66025014936931303</v>
      </c>
      <c r="M163" s="376">
        <f>INDEX($A$143:$K$172,MATCH(A163,$A$143:$A$172,0),MATCH(Mælaborð!$D$4,Reykjavík!$A$143:$K$143,0))</f>
        <v>0.66025014936931303</v>
      </c>
      <c r="AA163" s="13" t="s">
        <v>237</v>
      </c>
      <c r="AB163" s="376">
        <f>INDEX($A$143:$K$172,MATCH(A163,$A$143:$A$172,0),MATCH(Dashboard!$D$4,Reykjavík!$A$112:$K$112,0))</f>
        <v>0.66025014936931303</v>
      </c>
    </row>
    <row r="164" spans="1:28" x14ac:dyDescent="0.6">
      <c r="A164" s="13" t="s">
        <v>216</v>
      </c>
      <c r="B164" s="16" t="s">
        <v>181</v>
      </c>
      <c r="C164" s="1072">
        <f>C132/C$4</f>
        <v>2.9494893853431878E-2</v>
      </c>
      <c r="D164" s="1072">
        <f t="shared" ref="D164:H165" si="133">D132/D$4</f>
        <v>3.4812635956601216E-2</v>
      </c>
      <c r="E164" s="1072">
        <f t="shared" si="133"/>
        <v>4.2142512757959723E-2</v>
      </c>
      <c r="F164" s="1072">
        <f t="shared" si="133"/>
        <v>5.3189916599670296E-2</v>
      </c>
      <c r="G164" s="1072">
        <f t="shared" si="133"/>
        <v>6.1294759412890872E-2</v>
      </c>
      <c r="H164" s="707">
        <f t="shared" si="133"/>
        <v>7.2380806802108275E-2</v>
      </c>
      <c r="I164" s="707">
        <f t="shared" ref="I164:J165" si="134">I132/I$4</f>
        <v>8.0496051006920144E-2</v>
      </c>
      <c r="J164" s="707">
        <f t="shared" si="134"/>
        <v>8.7584226335369483E-2</v>
      </c>
      <c r="K164" s="707">
        <f t="shared" ref="K164" si="135">K132/K$4</f>
        <v>8.7217124901338816E-2</v>
      </c>
      <c r="M164" s="376">
        <f>INDEX($A$143:$K$172,MATCH(A164,$A$143:$A$172,0),MATCH(Mælaborð!$D$4,Reykjavík!$A$143:$K$143,0))</f>
        <v>8.7217124901338816E-2</v>
      </c>
      <c r="AA164" s="13" t="s">
        <v>239</v>
      </c>
      <c r="AB164" s="376">
        <f>INDEX($A$143:$K$172,MATCH(A164,$A$143:$A$172,0),MATCH(Dashboard!$D$4,Reykjavík!$A$112:$K$112,0))</f>
        <v>8.7217124901338816E-2</v>
      </c>
    </row>
    <row r="165" spans="1:28" x14ac:dyDescent="0.6">
      <c r="A165" s="13" t="s">
        <v>99</v>
      </c>
      <c r="B165" s="16"/>
      <c r="C165" s="1072">
        <f>C133/C$4</f>
        <v>0.19378703723968416</v>
      </c>
      <c r="D165" s="1072">
        <f t="shared" si="133"/>
        <v>0.22872560972951217</v>
      </c>
      <c r="E165" s="1072">
        <f t="shared" si="133"/>
        <v>0.27688428816808142</v>
      </c>
      <c r="F165" s="1072">
        <f t="shared" si="133"/>
        <v>0.3494678231458247</v>
      </c>
      <c r="G165" s="1072">
        <f t="shared" si="133"/>
        <v>0.40271817501595403</v>
      </c>
      <c r="H165" s="707">
        <f t="shared" si="133"/>
        <v>0.47555560541766428</v>
      </c>
      <c r="I165" s="707">
        <f t="shared" si="134"/>
        <v>0.52887429639996886</v>
      </c>
      <c r="J165" s="707">
        <f t="shared" si="134"/>
        <v>0.57544495039728094</v>
      </c>
      <c r="K165" s="707">
        <f t="shared" ref="K165" si="136">K133/K$4</f>
        <v>0.57303302446797433</v>
      </c>
      <c r="M165" s="376">
        <f>INDEX($A$143:$K$172,MATCH(A165,$A$143:$A$172,0),MATCH(Mælaborð!$D$4,Reykjavík!$A$143:$K$143,0))</f>
        <v>0.57303302446797433</v>
      </c>
      <c r="AA165" s="13" t="s">
        <v>67</v>
      </c>
      <c r="AB165" s="376">
        <f>INDEX($A$143:$K$172,MATCH(A165,$A$143:$A$172,0),MATCH(Dashboard!$D$4,Reykjavík!$A$112:$K$112,0))</f>
        <v>0.57303302446797433</v>
      </c>
    </row>
    <row r="166" spans="1:28" x14ac:dyDescent="0.6">
      <c r="A166" s="13" t="s">
        <v>235</v>
      </c>
      <c r="B166" s="16" t="s">
        <v>181</v>
      </c>
      <c r="C166" s="1072">
        <f t="shared" ref="C166:H166" si="137">C134/C$4</f>
        <v>0</v>
      </c>
      <c r="D166" s="1072">
        <f t="shared" si="137"/>
        <v>8.0727281649879148E-2</v>
      </c>
      <c r="E166" s="1072">
        <f t="shared" si="137"/>
        <v>5.1057571720294612E-2</v>
      </c>
      <c r="F166" s="1072">
        <f t="shared" si="137"/>
        <v>7.6386027359629197E-2</v>
      </c>
      <c r="G166" s="1072">
        <f t="shared" si="137"/>
        <v>4.3767498025570291E-2</v>
      </c>
      <c r="H166" s="707">
        <f t="shared" si="137"/>
        <v>4.4297202626063292E-2</v>
      </c>
      <c r="I166" s="707">
        <f t="shared" ref="I166:J166" si="138">I134/I$4</f>
        <v>6.2989439963012636E-2</v>
      </c>
      <c r="J166" s="707">
        <f t="shared" si="138"/>
        <v>0.21558871729690415</v>
      </c>
      <c r="K166" s="707">
        <f t="shared" ref="K166" si="139">K134/K$4</f>
        <v>8.8095046427569143E-2</v>
      </c>
      <c r="M166" s="376">
        <f>INDEX($A$143:$K$172,MATCH(A166,$A$143:$A$172,0),MATCH(Mælaborð!$D$4,Reykjavík!$A$143:$K$143,0))</f>
        <v>8.8095046427569143E-2</v>
      </c>
      <c r="AA166" s="13" t="s">
        <v>68</v>
      </c>
      <c r="AB166" s="376">
        <f>INDEX($A$143:$K$172,MATCH(A166,$A$143:$A$172,0),MATCH(Dashboard!$D$4,Reykjavík!$A$112:$K$112,0))</f>
        <v>8.8095046427569143E-2</v>
      </c>
    </row>
    <row r="167" spans="1:28" x14ac:dyDescent="0.6">
      <c r="A167" s="13" t="s">
        <v>73</v>
      </c>
      <c r="B167" s="16" t="s">
        <v>181</v>
      </c>
      <c r="C167" s="1072">
        <f t="shared" ref="C167:H167" si="140">C136/C$4</f>
        <v>0</v>
      </c>
      <c r="D167" s="1072">
        <f t="shared" si="140"/>
        <v>3.3234453023402937</v>
      </c>
      <c r="E167" s="1072">
        <f t="shared" si="140"/>
        <v>3.4124941168165144</v>
      </c>
      <c r="F167" s="1072">
        <f t="shared" si="140"/>
        <v>3.4681203602946704</v>
      </c>
      <c r="G167" s="1072">
        <f t="shared" si="140"/>
        <v>3.4359872887578664</v>
      </c>
      <c r="H167" s="707">
        <f t="shared" si="140"/>
        <v>3.179810495981453</v>
      </c>
      <c r="I167" s="707">
        <f t="shared" ref="I167:J167" si="141">I136/I$4</f>
        <v>3.2931292730897384</v>
      </c>
      <c r="J167" s="707">
        <f t="shared" si="141"/>
        <v>3.2329395247530659</v>
      </c>
      <c r="K167" s="707">
        <f t="shared" ref="K167" si="142">K136/K$4</f>
        <v>3.1211915907720504</v>
      </c>
      <c r="M167" s="376">
        <f>INDEX($A$143:$K$172,MATCH(A167,$A$143:$A$172,0),MATCH(Mælaborð!$D$4,Reykjavík!$A$143:$K$143,0))</f>
        <v>3.1211915907720504</v>
      </c>
      <c r="AA167" s="13" t="s">
        <v>73</v>
      </c>
      <c r="AB167" s="376">
        <f>INDEX($A$143:$K$172,MATCH(A167,$A$143:$A$172,0),MATCH(Dashboard!$D$4,Reykjavík!$A$112:$K$112,0))</f>
        <v>3.1211915907720504</v>
      </c>
    </row>
    <row r="168" spans="1:28" x14ac:dyDescent="0.6">
      <c r="A168" s="13" t="s">
        <v>76</v>
      </c>
      <c r="B168" s="16" t="s">
        <v>181</v>
      </c>
      <c r="C168" s="1072">
        <f t="shared" ref="C168:H168" si="143">C137/C$4</f>
        <v>0</v>
      </c>
      <c r="D168" s="1072">
        <f t="shared" si="143"/>
        <v>4.0828115217358931</v>
      </c>
      <c r="E168" s="1072">
        <f t="shared" si="143"/>
        <v>4.0577429022962894</v>
      </c>
      <c r="F168" s="1072">
        <f t="shared" si="143"/>
        <v>4.2014304588126725</v>
      </c>
      <c r="G168" s="1072">
        <f t="shared" si="143"/>
        <v>4.1462669404561963</v>
      </c>
      <c r="H168" s="707">
        <f t="shared" si="143"/>
        <v>3.8821909728452537</v>
      </c>
      <c r="I168" s="707">
        <f t="shared" ref="I168:J168" si="144">I137/I$4</f>
        <v>4.0170760149467979</v>
      </c>
      <c r="J168" s="707">
        <f t="shared" si="144"/>
        <v>3.8920349856757914</v>
      </c>
      <c r="K168" s="707">
        <f t="shared" ref="K168" si="145">K137/K$4</f>
        <v>3.782501752382748</v>
      </c>
      <c r="M168" s="376">
        <f>INDEX($A$143:$K$172,MATCH(A168,$A$143:$A$172,0),MATCH(Mælaborð!$D$4,Reykjavík!$A$143:$K$143,0))</f>
        <v>3.782501752382748</v>
      </c>
      <c r="AA168" s="13" t="s">
        <v>76</v>
      </c>
      <c r="AB168" s="376">
        <f>INDEX($A$143:$K$172,MATCH(A168,$A$143:$A$172,0),MATCH(Dashboard!$D$4,Reykjavík!$A$112:$K$112,0))</f>
        <v>3.782501752382748</v>
      </c>
    </row>
    <row r="169" spans="1:28" x14ac:dyDescent="0.6">
      <c r="A169" s="13" t="s">
        <v>234</v>
      </c>
      <c r="B169" s="16" t="s">
        <v>181</v>
      </c>
      <c r="C169" s="1072">
        <f t="shared" ref="C169:H169" si="146">C138/C$4</f>
        <v>0</v>
      </c>
      <c r="D169" s="1072">
        <f t="shared" si="146"/>
        <v>4.3922644131152841</v>
      </c>
      <c r="E169" s="1072">
        <f t="shared" si="146"/>
        <v>4.3856847621846651</v>
      </c>
      <c r="F169" s="1072">
        <f t="shared" si="146"/>
        <v>4.6272843093181262</v>
      </c>
      <c r="G169" s="1072">
        <f t="shared" si="146"/>
        <v>4.5927526134977201</v>
      </c>
      <c r="H169" s="707">
        <f t="shared" si="146"/>
        <v>4.4020437808889818</v>
      </c>
      <c r="I169" s="707">
        <f t="shared" ref="I169:J169" si="147">I138/I$4</f>
        <v>4.6089397513097801</v>
      </c>
      <c r="J169" s="707">
        <f t="shared" si="147"/>
        <v>4.6830686533699764</v>
      </c>
      <c r="K169" s="707">
        <f t="shared" ref="K169" si="148">K138/K$4</f>
        <v>4.4436298232782914</v>
      </c>
      <c r="M169" s="376">
        <f>INDEX($A$143:$K$172,MATCH(A169,$A$143:$A$172,0),MATCH(Mælaborð!$D$4,Reykjavík!$A$143:$K$143,0))</f>
        <v>4.4436298232782914</v>
      </c>
      <c r="AA169" s="13" t="s">
        <v>234</v>
      </c>
      <c r="AB169" s="376">
        <f>INDEX($A$143:$K$172,MATCH(A169,$A$143:$A$172,0),MATCH(Dashboard!$D$4,Reykjavík!$A$112:$K$112,0))</f>
        <v>4.4436298232782914</v>
      </c>
    </row>
    <row r="170" spans="1:28" x14ac:dyDescent="0.6">
      <c r="A170" s="1" t="s">
        <v>80</v>
      </c>
      <c r="B170" s="16" t="s">
        <v>181</v>
      </c>
      <c r="C170" s="1072">
        <f>C139/C$4</f>
        <v>0</v>
      </c>
      <c r="D170" s="1072">
        <f t="shared" ref="D170:H170" si="149">D139/D$4</f>
        <v>3.8908833917478853</v>
      </c>
      <c r="E170" s="1072">
        <f t="shared" si="149"/>
        <v>4.4722712751722451</v>
      </c>
      <c r="F170" s="1072">
        <f t="shared" si="149"/>
        <v>4.809624508943374</v>
      </c>
      <c r="G170" s="1072">
        <f t="shared" si="149"/>
        <v>4.8417780142654188</v>
      </c>
      <c r="H170" s="707">
        <f t="shared" si="149"/>
        <v>4.7246226669571278</v>
      </c>
      <c r="I170" s="707">
        <f>I139/I$4</f>
        <v>3.7954341584249578</v>
      </c>
      <c r="J170" s="707">
        <f>J139/J$4</f>
        <v>3.6654814781847924</v>
      </c>
      <c r="K170" s="707">
        <f>K139/K$4</f>
        <v>3.559324614212414</v>
      </c>
      <c r="M170" s="376">
        <f>INDEX($A$143:$K$172,MATCH(A170,$A$143:$A$172,0),MATCH(Mælaborð!$D$4,Reykjavík!$A$143:$K$143,0))</f>
        <v>3.559324614212414</v>
      </c>
      <c r="AA170" s="1" t="s">
        <v>45</v>
      </c>
      <c r="AB170" s="376">
        <f>INDEX($A$143:$K$172,MATCH(A170,$A$143:$A$172,0),MATCH(Dashboard!$D$4,Reykjavík!$A$112:$K$112,0))</f>
        <v>3.559324614212414</v>
      </c>
    </row>
    <row r="171" spans="1:28" x14ac:dyDescent="0.6">
      <c r="A171" s="1" t="s">
        <v>81</v>
      </c>
      <c r="B171" s="16" t="s">
        <v>181</v>
      </c>
      <c r="C171" s="1072">
        <f t="shared" ref="C171:H171" si="150">C140/C$4</f>
        <v>0</v>
      </c>
      <c r="D171" s="1072">
        <f t="shared" si="150"/>
        <v>0.20171096540506098</v>
      </c>
      <c r="E171" s="1072">
        <f t="shared" si="150"/>
        <v>0.19531220698181939</v>
      </c>
      <c r="F171" s="1072">
        <f t="shared" si="150"/>
        <v>0.18426912597948289</v>
      </c>
      <c r="G171" s="1072">
        <f t="shared" si="150"/>
        <v>0.18259142751429158</v>
      </c>
      <c r="H171" s="707">
        <f t="shared" si="150"/>
        <v>0.19198502822300922</v>
      </c>
      <c r="I171" s="707">
        <f t="shared" ref="I171:J171" si="151">I140/I$4</f>
        <v>0.18180349145859723</v>
      </c>
      <c r="J171" s="707">
        <f t="shared" si="151"/>
        <v>0.18976662986267392</v>
      </c>
      <c r="K171" s="707">
        <f t="shared" ref="K171" si="152">K140/K$4</f>
        <v>0.17471392810285777</v>
      </c>
      <c r="M171" s="376">
        <f>INDEX($A$143:$K$172,MATCH(A171,$A$143:$A$172,0),MATCH(Mælaborð!$D$4,Reykjavík!$A$143:$K$143,0))</f>
        <v>0.17471392810285777</v>
      </c>
      <c r="AA171" s="1" t="s">
        <v>46</v>
      </c>
      <c r="AB171" s="376">
        <f>INDEX($A$143:$K$172,MATCH(A171,$A$143:$A$172,0),MATCH(Dashboard!$D$4,Reykjavík!$A$112:$K$112,0))</f>
        <v>0.17471392810285777</v>
      </c>
    </row>
    <row r="172" spans="1:28" x14ac:dyDescent="0.6">
      <c r="A172" s="1" t="s">
        <v>82</v>
      </c>
      <c r="B172" s="16" t="s">
        <v>181</v>
      </c>
      <c r="C172" s="1072">
        <f t="shared" ref="C172:H172" si="153">C141/C$4</f>
        <v>0</v>
      </c>
      <c r="D172" s="1072">
        <f t="shared" si="153"/>
        <v>0.34558470165561639</v>
      </c>
      <c r="E172" s="1072">
        <f t="shared" si="153"/>
        <v>0.36506994084501648</v>
      </c>
      <c r="F172" s="1072">
        <f t="shared" si="153"/>
        <v>0.46386690547859394</v>
      </c>
      <c r="G172" s="1072">
        <f t="shared" si="153"/>
        <v>0.4806688791978862</v>
      </c>
      <c r="H172" s="707">
        <f t="shared" si="153"/>
        <v>0.55554399182520464</v>
      </c>
      <c r="I172" s="707">
        <f t="shared" ref="I172:J172" si="154">I141/I$4</f>
        <v>0.63170210142622463</v>
      </c>
      <c r="J172" s="707">
        <f t="shared" si="154"/>
        <v>0.82782054532251026</v>
      </c>
      <c r="K172" s="707">
        <f t="shared" ref="K172" si="155">K141/K$4</f>
        <v>0.7095912809630196</v>
      </c>
      <c r="M172" s="376">
        <f>INDEX($A$143:$K$172,MATCH(A172,$A$143:$A$172,0),MATCH(Mælaborð!$D$4,Reykjavík!$A$143:$K$143,0))</f>
        <v>0.7095912809630196</v>
      </c>
      <c r="AA172" s="1" t="s">
        <v>47</v>
      </c>
      <c r="AB172" s="376">
        <f>INDEX($A$143:$K$172,MATCH(A172,$A$143:$A$172,0),MATCH(Dashboard!$D$4,Reykjavík!$A$112:$K$112,0))</f>
        <v>0.7095912809630196</v>
      </c>
    </row>
    <row r="173" spans="1:28" x14ac:dyDescent="0.6">
      <c r="A173" s="1"/>
      <c r="B173" s="2"/>
      <c r="C173" s="3"/>
      <c r="D173" s="3"/>
      <c r="E173" s="3"/>
      <c r="F173" s="3"/>
      <c r="G173" s="3"/>
      <c r="H173" s="3"/>
      <c r="I173" s="3"/>
      <c r="J173" s="3"/>
      <c r="K173" s="3"/>
    </row>
    <row r="174" spans="1:28" x14ac:dyDescent="0.6">
      <c r="A174" s="1"/>
      <c r="B174" s="2"/>
      <c r="C174" s="3"/>
      <c r="D174" s="3"/>
      <c r="E174" s="3"/>
      <c r="F174" s="3"/>
      <c r="G174" s="3"/>
      <c r="H174" s="3"/>
      <c r="I174" s="3"/>
      <c r="J174" s="3"/>
      <c r="K174" s="3"/>
    </row>
    <row r="175" spans="1:28" x14ac:dyDescent="0.6">
      <c r="A175" s="6" t="s">
        <v>245</v>
      </c>
      <c r="B175" s="4" t="s">
        <v>2</v>
      </c>
      <c r="C175" s="5">
        <v>2015</v>
      </c>
      <c r="D175" s="5">
        <v>2016</v>
      </c>
      <c r="E175" s="5">
        <v>2017</v>
      </c>
      <c r="F175" s="5">
        <v>2018</v>
      </c>
      <c r="G175" s="5">
        <v>2019</v>
      </c>
      <c r="H175" s="5">
        <v>2020</v>
      </c>
      <c r="I175" s="5">
        <v>2021</v>
      </c>
      <c r="J175" s="5">
        <v>2022</v>
      </c>
      <c r="K175" s="5">
        <v>2023</v>
      </c>
      <c r="M175">
        <f>Mælaborð!$D$4</f>
        <v>2023</v>
      </c>
      <c r="AA175" s="6" t="s">
        <v>245</v>
      </c>
      <c r="AB175">
        <f>Dashboard!$D$4</f>
        <v>2023</v>
      </c>
    </row>
    <row r="176" spans="1:28" x14ac:dyDescent="0.6">
      <c r="A176" s="13" t="str">
        <f>A115</f>
        <v>Orkunotkun</v>
      </c>
      <c r="B176" s="16" t="str">
        <f t="shared" ref="B176:G176" si="156">B115</f>
        <v>tCO2Í</v>
      </c>
      <c r="C176" s="1069">
        <f t="shared" si="156"/>
        <v>0</v>
      </c>
      <c r="D176" s="56">
        <f t="shared" si="156"/>
        <v>24057.260000000002</v>
      </c>
      <c r="E176" s="56">
        <f t="shared" si="156"/>
        <v>23537.66</v>
      </c>
      <c r="F176" s="56">
        <f t="shared" si="156"/>
        <v>22691.084442239502</v>
      </c>
      <c r="G176" s="56">
        <f t="shared" si="156"/>
        <v>22889.661353191594</v>
      </c>
      <c r="H176" s="693">
        <f>H115</f>
        <v>24295.513336593594</v>
      </c>
      <c r="I176" s="693">
        <f>I115</f>
        <v>23656.132078510429</v>
      </c>
      <c r="J176" s="693">
        <f>J115</f>
        <v>25081.321831999998</v>
      </c>
      <c r="K176" s="693">
        <f>K115</f>
        <v>23744.295119969102</v>
      </c>
      <c r="M176" s="32">
        <f>M115</f>
        <v>23744.295119969102</v>
      </c>
      <c r="AA176" s="13" t="str">
        <f>AA115</f>
        <v>Energy</v>
      </c>
      <c r="AB176" s="32">
        <f>AB115</f>
        <v>23744.295119969102</v>
      </c>
    </row>
    <row r="177" spans="1:28" x14ac:dyDescent="0.6">
      <c r="A177" s="13" t="str">
        <f>A116</f>
        <v>Fólksbifreiðar</v>
      </c>
      <c r="B177" s="16" t="str">
        <f t="shared" ref="B177:M177" si="157">B116</f>
        <v>tCO2Í</v>
      </c>
      <c r="C177" s="1069">
        <f t="shared" si="157"/>
        <v>0</v>
      </c>
      <c r="D177" s="56">
        <f t="shared" si="157"/>
        <v>177288.72100304358</v>
      </c>
      <c r="E177" s="56">
        <f t="shared" si="157"/>
        <v>191476.65694556726</v>
      </c>
      <c r="F177" s="56">
        <f t="shared" si="157"/>
        <v>196846.13898451629</v>
      </c>
      <c r="G177" s="56">
        <f t="shared" si="157"/>
        <v>203536.7628924434</v>
      </c>
      <c r="H177" s="693">
        <f t="shared" si="157"/>
        <v>182447.62542862695</v>
      </c>
      <c r="I177" s="693">
        <f t="shared" ref="I177:J177" si="158">I116</f>
        <v>197241.7370532557</v>
      </c>
      <c r="J177" s="693">
        <f t="shared" si="158"/>
        <v>180177.72222401455</v>
      </c>
      <c r="K177" s="693">
        <f t="shared" ref="K177" si="159">K116</f>
        <v>182631.6253205798</v>
      </c>
      <c r="M177" s="32">
        <f t="shared" si="157"/>
        <v>182631.6253205798</v>
      </c>
      <c r="AA177" s="13" t="str">
        <f>AA116</f>
        <v>Private cars</v>
      </c>
      <c r="AB177" s="32">
        <f t="shared" ref="AB177" si="160">AB116</f>
        <v>182631.6253205798</v>
      </c>
    </row>
    <row r="178" spans="1:28" x14ac:dyDescent="0.6">
      <c r="A178" s="13" t="str">
        <f>A117</f>
        <v>Hópbifreiðar</v>
      </c>
      <c r="B178" s="16" t="str">
        <f t="shared" ref="B178:M178" si="161">B117</f>
        <v>tCO2Í</v>
      </c>
      <c r="C178" s="1069">
        <f t="shared" si="161"/>
        <v>0</v>
      </c>
      <c r="D178" s="56">
        <f t="shared" si="161"/>
        <v>13223.836954500219</v>
      </c>
      <c r="E178" s="56">
        <f t="shared" si="161"/>
        <v>14282.104793330222</v>
      </c>
      <c r="F178" s="56">
        <f t="shared" si="161"/>
        <v>14682.610559356704</v>
      </c>
      <c r="G178" s="56">
        <f t="shared" si="161"/>
        <v>14936.860757197919</v>
      </c>
      <c r="H178" s="693">
        <f t="shared" si="161"/>
        <v>11698.090093541421</v>
      </c>
      <c r="I178" s="693">
        <f t="shared" ref="I178:J178" si="162">I117</f>
        <v>9599.8679501088409</v>
      </c>
      <c r="J178" s="693">
        <f t="shared" si="162"/>
        <v>14630.465949535896</v>
      </c>
      <c r="K178" s="693">
        <f t="shared" ref="K178" si="163">K117</f>
        <v>17804.542522148538</v>
      </c>
      <c r="M178" s="32">
        <f t="shared" si="161"/>
        <v>17804.542522148538</v>
      </c>
      <c r="AA178" s="13" t="str">
        <f>AA117</f>
        <v>Public vehicles</v>
      </c>
      <c r="AB178" s="32">
        <f t="shared" ref="AB178" si="164">AB117</f>
        <v>17804.542522148538</v>
      </c>
    </row>
    <row r="179" spans="1:28" x14ac:dyDescent="0.6">
      <c r="A179" s="13" t="str">
        <f>A118</f>
        <v>Vörubifreiðar</v>
      </c>
      <c r="B179" s="16" t="str">
        <f t="shared" ref="B179:M179" si="165">B118</f>
        <v>tCO2Í</v>
      </c>
      <c r="C179" s="1069">
        <f t="shared" si="165"/>
        <v>0</v>
      </c>
      <c r="D179" s="56">
        <f t="shared" si="165"/>
        <v>64953.602511768651</v>
      </c>
      <c r="E179" s="56">
        <f t="shared" si="165"/>
        <v>70151.663315971178</v>
      </c>
      <c r="F179" s="56">
        <f t="shared" si="165"/>
        <v>72118.890560201733</v>
      </c>
      <c r="G179" s="56">
        <f t="shared" si="165"/>
        <v>74478.166463181537</v>
      </c>
      <c r="H179" s="693">
        <f t="shared" si="165"/>
        <v>66681.153020764716</v>
      </c>
      <c r="I179" s="693">
        <f t="shared" ref="I179:J179" si="166">I118</f>
        <v>76377.297923741542</v>
      </c>
      <c r="J179" s="693">
        <f t="shared" si="166"/>
        <v>74587.144080953862</v>
      </c>
      <c r="K179" s="693">
        <f t="shared" ref="K179" si="167">K118</f>
        <v>62600.823041074313</v>
      </c>
      <c r="M179" s="32">
        <f t="shared" si="165"/>
        <v>62600.823041074313</v>
      </c>
      <c r="AA179" s="13" t="str">
        <f>AA118</f>
        <v>Goods vehicles</v>
      </c>
      <c r="AB179" s="32">
        <f t="shared" ref="AB179" si="168">AB118</f>
        <v>62600.823041074313</v>
      </c>
    </row>
    <row r="180" spans="1:28" x14ac:dyDescent="0.6">
      <c r="A180" s="13" t="str">
        <f>A132</f>
        <v>Staðbundin eldsneytisnotkun</v>
      </c>
      <c r="B180" s="16" t="str">
        <f t="shared" ref="B180:M180" si="169">B132</f>
        <v>tCO2Í</v>
      </c>
      <c r="C180" s="1069">
        <f t="shared" si="169"/>
        <v>3503.9344000000001</v>
      </c>
      <c r="D180" s="56">
        <f t="shared" si="169"/>
        <v>4151.9638400000003</v>
      </c>
      <c r="E180" s="56">
        <f t="shared" si="169"/>
        <v>5078.7206400000005</v>
      </c>
      <c r="F180" s="56">
        <f t="shared" si="169"/>
        <v>6549.85952</v>
      </c>
      <c r="G180" s="56">
        <f t="shared" si="169"/>
        <v>7683.91104</v>
      </c>
      <c r="H180" s="693">
        <f t="shared" si="169"/>
        <v>9159.7187200000008</v>
      </c>
      <c r="I180" s="693">
        <f t="shared" si="169"/>
        <v>10352.59712</v>
      </c>
      <c r="J180" s="693">
        <f t="shared" ref="J180" si="170">J132</f>
        <v>11441.828159999999</v>
      </c>
      <c r="K180" s="693">
        <f t="shared" ref="K180" si="171">K132</f>
        <v>11713.085440000001</v>
      </c>
      <c r="M180" s="32">
        <f t="shared" si="169"/>
        <v>11713.085440000001</v>
      </c>
      <c r="AA180" s="13" t="str">
        <f>AA132</f>
        <v>Stationary energy</v>
      </c>
      <c r="AB180" s="32">
        <f t="shared" ref="AB180" si="172">AB132</f>
        <v>11713.085440000001</v>
      </c>
    </row>
    <row r="181" spans="1:28" x14ac:dyDescent="0.6">
      <c r="A181" s="13" t="str">
        <f>A119</f>
        <v>Skipaumferð</v>
      </c>
      <c r="B181" s="16" t="str">
        <f t="shared" ref="B181:M181" si="173">B119</f>
        <v>tCO2Í</v>
      </c>
      <c r="C181" s="1069">
        <f t="shared" si="173"/>
        <v>0</v>
      </c>
      <c r="D181" s="56">
        <f t="shared" si="173"/>
        <v>40017.414575000003</v>
      </c>
      <c r="E181" s="56">
        <f t="shared" si="173"/>
        <v>34600</v>
      </c>
      <c r="F181" s="56">
        <f t="shared" si="173"/>
        <v>39750</v>
      </c>
      <c r="G181" s="56">
        <f t="shared" si="173"/>
        <v>47440</v>
      </c>
      <c r="H181" s="693">
        <f t="shared" si="173"/>
        <v>35080</v>
      </c>
      <c r="I181" s="693">
        <f t="shared" ref="I181:J181" si="174">I119</f>
        <v>28630</v>
      </c>
      <c r="J181" s="693">
        <f t="shared" si="174"/>
        <v>42480</v>
      </c>
      <c r="K181" s="693">
        <f t="shared" ref="K181" si="175">K119</f>
        <v>51970</v>
      </c>
      <c r="M181" s="32">
        <f t="shared" si="173"/>
        <v>51970</v>
      </c>
      <c r="AA181" s="13" t="str">
        <f>AA119</f>
        <v>Waterborne navigation</v>
      </c>
      <c r="AB181" s="32">
        <f t="shared" ref="AB181" si="176">AB119</f>
        <v>51970</v>
      </c>
    </row>
    <row r="182" spans="1:28" x14ac:dyDescent="0.6">
      <c r="A182" s="13" t="str">
        <f>A120</f>
        <v>Flugumferð</v>
      </c>
      <c r="B182" s="16" t="str">
        <f t="shared" ref="B182:M182" si="177">B120</f>
        <v>tCO2Í</v>
      </c>
      <c r="C182" s="1069">
        <f t="shared" si="177"/>
        <v>0</v>
      </c>
      <c r="D182" s="56">
        <f t="shared" si="177"/>
        <v>5400.7160188601574</v>
      </c>
      <c r="E182" s="56">
        <f t="shared" si="177"/>
        <v>4792.3453956006551</v>
      </c>
      <c r="F182" s="56">
        <f t="shared" si="177"/>
        <v>7325.3866733465939</v>
      </c>
      <c r="G182" s="56">
        <f t="shared" si="177"/>
        <v>6937.1982702861123</v>
      </c>
      <c r="H182" s="693">
        <f t="shared" si="177"/>
        <v>4542.5582514083553</v>
      </c>
      <c r="I182" s="693">
        <f t="shared" ref="I182:J182" si="178">I120</f>
        <v>6698.8813711630573</v>
      </c>
      <c r="J182" s="693">
        <f t="shared" si="178"/>
        <v>5939.1766057704244</v>
      </c>
      <c r="K182" s="693">
        <f t="shared" ref="K182" si="179">K120</f>
        <v>6188.7020046428052</v>
      </c>
      <c r="M182" s="32">
        <f t="shared" si="177"/>
        <v>6188.7020046428052</v>
      </c>
      <c r="AA182" s="13" t="str">
        <f>AA120</f>
        <v>Aviation</v>
      </c>
      <c r="AB182" s="32">
        <f t="shared" ref="AB182" si="180">AB120</f>
        <v>6188.7020046428052</v>
      </c>
    </row>
    <row r="183" spans="1:28" x14ac:dyDescent="0.6">
      <c r="A183" s="13" t="str">
        <f t="shared" ref="A183:H185" si="181">A126</f>
        <v>Úrgangur</v>
      </c>
      <c r="B183" s="16" t="str">
        <f t="shared" si="181"/>
        <v>tCO2Í</v>
      </c>
      <c r="C183" s="1069">
        <f t="shared" si="181"/>
        <v>0</v>
      </c>
      <c r="D183" s="56">
        <f t="shared" si="181"/>
        <v>67280.512525744824</v>
      </c>
      <c r="E183" s="56">
        <f t="shared" si="181"/>
        <v>67330.752409439214</v>
      </c>
      <c r="F183" s="56">
        <f t="shared" si="181"/>
        <v>67345.76638412477</v>
      </c>
      <c r="G183" s="56">
        <f t="shared" si="181"/>
        <v>53056.836599577196</v>
      </c>
      <c r="H183" s="693">
        <f t="shared" si="181"/>
        <v>68790.606981015459</v>
      </c>
      <c r="I183" s="693">
        <f t="shared" ref="I183" si="182">I126</f>
        <v>71247.227357311916</v>
      </c>
      <c r="J183" s="693">
        <f>J126</f>
        <v>68297.683622416283</v>
      </c>
      <c r="K183" s="693">
        <f>K126</f>
        <v>62797.278812701777</v>
      </c>
      <c r="M183" s="32">
        <f>M126</f>
        <v>62797.278812701777</v>
      </c>
      <c r="AA183" s="13" t="str">
        <f t="shared" ref="AA183" si="183">AA126</f>
        <v>Waste</v>
      </c>
      <c r="AB183" s="32">
        <f>AB126</f>
        <v>62797.278812701777</v>
      </c>
    </row>
    <row r="184" spans="1:28" x14ac:dyDescent="0.6">
      <c r="A184" s="13" t="str">
        <f t="shared" si="181"/>
        <v>Búfjárrækt</v>
      </c>
      <c r="B184" s="16" t="str">
        <f t="shared" si="181"/>
        <v>tCO2Í</v>
      </c>
      <c r="C184" s="1069">
        <f t="shared" si="181"/>
        <v>0</v>
      </c>
      <c r="D184" s="56">
        <f t="shared" si="181"/>
        <v>1829.6519397420795</v>
      </c>
      <c r="E184" s="56">
        <f t="shared" si="181"/>
        <v>2245.4398830453683</v>
      </c>
      <c r="F184" s="56">
        <f t="shared" si="181"/>
        <v>1691.624489923749</v>
      </c>
      <c r="G184" s="56">
        <f t="shared" si="181"/>
        <v>1710.0061987558634</v>
      </c>
      <c r="H184" s="693">
        <f t="shared" si="181"/>
        <v>2652.4245259230693</v>
      </c>
      <c r="I184" s="693">
        <f t="shared" ref="I184:J184" si="184">I127</f>
        <v>2654.0703045108339</v>
      </c>
      <c r="J184" s="693">
        <f t="shared" si="184"/>
        <v>2565.3120470227268</v>
      </c>
      <c r="K184" s="693">
        <f t="shared" ref="K184" si="185">K127</f>
        <v>2225.7389972815336</v>
      </c>
      <c r="M184" s="32">
        <f>M127</f>
        <v>2225.7389972815336</v>
      </c>
      <c r="AA184" s="13" t="str">
        <f t="shared" ref="AA184" si="186">AA127</f>
        <v>Livestock farming</v>
      </c>
      <c r="AB184" s="32">
        <f>AB127</f>
        <v>2225.7389972815336</v>
      </c>
    </row>
    <row r="185" spans="1:28" x14ac:dyDescent="0.6">
      <c r="A185" s="13" t="str">
        <f t="shared" si="181"/>
        <v>Landnotkun</v>
      </c>
      <c r="B185" s="16" t="str">
        <f t="shared" si="181"/>
        <v>tCO2Í</v>
      </c>
      <c r="C185" s="1069">
        <f t="shared" si="181"/>
        <v>0</v>
      </c>
      <c r="D185" s="56">
        <f t="shared" si="181"/>
        <v>45422</v>
      </c>
      <c r="E185" s="56">
        <f t="shared" si="181"/>
        <v>45422</v>
      </c>
      <c r="F185" s="56">
        <f t="shared" si="181"/>
        <v>45422</v>
      </c>
      <c r="G185" s="56">
        <f t="shared" si="181"/>
        <v>45422</v>
      </c>
      <c r="H185" s="693">
        <f t="shared" si="181"/>
        <v>45422</v>
      </c>
      <c r="I185" s="693">
        <f t="shared" ref="I185:J185" si="187">I128</f>
        <v>45422</v>
      </c>
      <c r="J185" s="693">
        <f t="shared" si="187"/>
        <v>45422</v>
      </c>
      <c r="K185" s="693">
        <f t="shared" ref="K185" si="188">K128</f>
        <v>45422</v>
      </c>
      <c r="M185" s="32">
        <f>M128</f>
        <v>45422</v>
      </c>
      <c r="AA185" s="13" t="str">
        <f t="shared" ref="AA185" si="189">AA128</f>
        <v>Land use</v>
      </c>
      <c r="AB185" s="32">
        <f>AB128</f>
        <v>45422</v>
      </c>
    </row>
    <row r="186" spans="1:28" x14ac:dyDescent="0.6">
      <c r="A186" s="13" t="str">
        <f t="shared" ref="A186:H186" si="190">A130</f>
        <v>Efnanotkun</v>
      </c>
      <c r="B186" s="16" t="str">
        <f t="shared" si="190"/>
        <v>tCO2Í</v>
      </c>
      <c r="C186" s="1069">
        <f t="shared" si="190"/>
        <v>0</v>
      </c>
      <c r="D186" s="56">
        <f t="shared" si="190"/>
        <v>43314.919582693481</v>
      </c>
      <c r="E186" s="56">
        <f t="shared" si="190"/>
        <v>30093.427001478725</v>
      </c>
      <c r="F186" s="56">
        <f t="shared" si="190"/>
        <v>42944.986514942037</v>
      </c>
      <c r="G186" s="56">
        <f t="shared" si="190"/>
        <v>41684.620080955239</v>
      </c>
      <c r="H186" s="693">
        <f t="shared" si="190"/>
        <v>40517.695064720487</v>
      </c>
      <c r="I186" s="693">
        <f t="shared" ref="I186:J186" si="191">I130</f>
        <v>44756.335123705379</v>
      </c>
      <c r="J186" s="693">
        <f t="shared" si="191"/>
        <v>37825.011937000338</v>
      </c>
      <c r="K186" s="693">
        <f t="shared" ref="K186" si="192">K130</f>
        <v>40884.329083100427</v>
      </c>
      <c r="M186" s="32">
        <f>M130</f>
        <v>40884.329083100427</v>
      </c>
      <c r="AA186" s="13" t="str">
        <f t="shared" ref="AA186" si="193">AA130</f>
        <v>Product use</v>
      </c>
      <c r="AB186" s="32">
        <f>AB130</f>
        <v>40884.329083100427</v>
      </c>
    </row>
    <row r="187" spans="1:28" x14ac:dyDescent="0.6">
      <c r="A187" s="13" t="str">
        <f>A133</f>
        <v>Byggingariðnaður - efni</v>
      </c>
      <c r="B187" s="16" t="str">
        <f t="shared" ref="B187:M187" si="194">B133</f>
        <v>tCO2Í</v>
      </c>
      <c r="C187" s="1069">
        <f t="shared" si="194"/>
        <v>23021.512449999998</v>
      </c>
      <c r="D187" s="56">
        <f t="shared" si="194"/>
        <v>27279.188569999998</v>
      </c>
      <c r="E187" s="56">
        <f t="shared" si="194"/>
        <v>33368.156219999997</v>
      </c>
      <c r="F187" s="56">
        <f t="shared" si="194"/>
        <v>43033.817210000001</v>
      </c>
      <c r="G187" s="56">
        <f t="shared" si="194"/>
        <v>50484.750419999997</v>
      </c>
      <c r="H187" s="693">
        <f t="shared" si="194"/>
        <v>60181.086309999999</v>
      </c>
      <c r="I187" s="693">
        <f t="shared" si="194"/>
        <v>68018.523260000002</v>
      </c>
      <c r="J187" s="693">
        <f t="shared" ref="J187" si="195">J133</f>
        <v>75174.977429999984</v>
      </c>
      <c r="K187" s="693">
        <f t="shared" ref="K187" si="196">K133</f>
        <v>76957.18912000001</v>
      </c>
      <c r="M187" s="32">
        <f t="shared" si="194"/>
        <v>76957.18912000001</v>
      </c>
      <c r="AA187" s="13" t="str">
        <f>AA133</f>
        <v>Construction materials</v>
      </c>
      <c r="AB187" s="32">
        <f t="shared" ref="AB187" si="197">AB133</f>
        <v>76957.18912000001</v>
      </c>
    </row>
    <row r="188" spans="1:28" x14ac:dyDescent="0.6">
      <c r="A188" s="13" t="str">
        <f t="shared" ref="A188" si="198">A134</f>
        <v>Annar iðnaður</v>
      </c>
      <c r="B188" s="16" t="str">
        <f t="shared" ref="B188:H188" si="199">B134</f>
        <v>tCO2Í</v>
      </c>
      <c r="C188" s="1069">
        <f t="shared" si="199"/>
        <v>0</v>
      </c>
      <c r="D188" s="56">
        <f t="shared" si="199"/>
        <v>9628.0199732544861</v>
      </c>
      <c r="E188" s="56">
        <f t="shared" si="199"/>
        <v>6153.1011407278647</v>
      </c>
      <c r="F188" s="56">
        <f t="shared" si="199"/>
        <v>9406.2517950920992</v>
      </c>
      <c r="G188" s="56">
        <f t="shared" si="199"/>
        <v>5486.6935524854916</v>
      </c>
      <c r="H188" s="693">
        <f t="shared" si="199"/>
        <v>5605.7666951256833</v>
      </c>
      <c r="I188" s="693">
        <f t="shared" ref="I188:J188" si="200">I134</f>
        <v>8101.0718736430554</v>
      </c>
      <c r="J188" s="693">
        <f t="shared" si="200"/>
        <v>28164.078850232963</v>
      </c>
      <c r="K188" s="693">
        <f t="shared" ref="K188" si="201">K134</f>
        <v>11830.988545129681</v>
      </c>
      <c r="M188" s="32">
        <f>M134</f>
        <v>11830.988545129681</v>
      </c>
      <c r="AA188" s="13" t="str">
        <f t="shared" ref="AA188" si="202">AA134</f>
        <v>Other industry</v>
      </c>
      <c r="AB188" s="32">
        <f>AB134</f>
        <v>11830.988545129681</v>
      </c>
    </row>
    <row r="189" spans="1:28" x14ac:dyDescent="0.6">
      <c r="A189" s="13" t="str">
        <f t="shared" ref="A189:H191" si="203">A136</f>
        <v>BASIC</v>
      </c>
      <c r="B189" s="16" t="str">
        <f t="shared" si="203"/>
        <v>tCO2Í</v>
      </c>
      <c r="C189" s="1069">
        <f t="shared" si="203"/>
        <v>0</v>
      </c>
      <c r="D189" s="56">
        <f t="shared" si="203"/>
        <v>396374.02742891747</v>
      </c>
      <c r="E189" s="56">
        <f t="shared" si="203"/>
        <v>411249.90349990857</v>
      </c>
      <c r="F189" s="56">
        <f t="shared" si="203"/>
        <v>427067.80928704602</v>
      </c>
      <c r="G189" s="56">
        <f t="shared" si="203"/>
        <v>430735.36651868612</v>
      </c>
      <c r="H189" s="693">
        <f t="shared" si="203"/>
        <v>402401.83845595689</v>
      </c>
      <c r="I189" s="693">
        <f t="shared" ref="I189:J189" si="204">I136</f>
        <v>423529.35581207124</v>
      </c>
      <c r="J189" s="693">
        <f t="shared" si="204"/>
        <v>422344.75363469101</v>
      </c>
      <c r="K189" s="693">
        <f t="shared" ref="K189" si="205">K136</f>
        <v>419169.78825750481</v>
      </c>
      <c r="M189" s="32">
        <f>M136</f>
        <v>419169.78825750481</v>
      </c>
      <c r="AA189" s="13" t="str">
        <f t="shared" ref="AA189" si="206">AA136</f>
        <v>BASIC</v>
      </c>
      <c r="AB189" s="32">
        <f>AB136</f>
        <v>419169.78825750481</v>
      </c>
    </row>
    <row r="190" spans="1:28" x14ac:dyDescent="0.6">
      <c r="A190" s="13" t="str">
        <f t="shared" si="203"/>
        <v>BASIC+</v>
      </c>
      <c r="B190" s="16" t="str">
        <f t="shared" si="203"/>
        <v>tCO2Í</v>
      </c>
      <c r="C190" s="1069">
        <f t="shared" si="203"/>
        <v>0</v>
      </c>
      <c r="D190" s="56">
        <f t="shared" si="203"/>
        <v>486940.59895135305</v>
      </c>
      <c r="E190" s="56">
        <f t="shared" si="203"/>
        <v>489010.77038443269</v>
      </c>
      <c r="F190" s="56">
        <f t="shared" si="203"/>
        <v>517368.34812865133</v>
      </c>
      <c r="G190" s="56">
        <f t="shared" si="203"/>
        <v>519776.0236555888</v>
      </c>
      <c r="H190" s="693">
        <f t="shared" si="203"/>
        <v>491287.38542259403</v>
      </c>
      <c r="I190" s="693">
        <f t="shared" ref="I190:J190" si="207">I137</f>
        <v>516636.14628230769</v>
      </c>
      <c r="J190" s="693">
        <f t="shared" si="207"/>
        <v>508447.66645871405</v>
      </c>
      <c r="K190" s="693">
        <f t="shared" ref="K190" si="208">K137</f>
        <v>507982.42034149828</v>
      </c>
      <c r="M190" s="32">
        <f>M137</f>
        <v>507982.42034149828</v>
      </c>
      <c r="AA190" s="13" t="str">
        <f t="shared" ref="AA190" si="209">AA137</f>
        <v>BASIC+</v>
      </c>
      <c r="AB190" s="32">
        <f>AB137</f>
        <v>507982.42034149828</v>
      </c>
    </row>
    <row r="191" spans="1:28" x14ac:dyDescent="0.6">
      <c r="A191" s="13" t="str">
        <f t="shared" si="203"/>
        <v>BASIC+ S3</v>
      </c>
      <c r="B191" s="16" t="str">
        <f t="shared" si="203"/>
        <v>tCO2Í</v>
      </c>
      <c r="C191" s="1069">
        <f t="shared" si="203"/>
        <v>0</v>
      </c>
      <c r="D191" s="56">
        <f t="shared" si="203"/>
        <v>523847.80749460752</v>
      </c>
      <c r="E191" s="56">
        <f t="shared" si="203"/>
        <v>528532.02774516051</v>
      </c>
      <c r="F191" s="56">
        <f t="shared" si="203"/>
        <v>569808.41713374341</v>
      </c>
      <c r="G191" s="56">
        <f t="shared" si="203"/>
        <v>575747.46762807423</v>
      </c>
      <c r="H191" s="693">
        <f t="shared" si="203"/>
        <v>557074.2384277198</v>
      </c>
      <c r="I191" s="693">
        <f t="shared" ref="I191:J191" si="210">I138</f>
        <v>592755.74141595082</v>
      </c>
      <c r="J191" s="693">
        <f t="shared" si="210"/>
        <v>611786.72273894702</v>
      </c>
      <c r="K191" s="693">
        <f t="shared" ref="K191" si="211">K138</f>
        <v>596770.59800662799</v>
      </c>
      <c r="M191" s="32">
        <f>M138</f>
        <v>596770.59800662799</v>
      </c>
      <c r="AA191" s="13" t="str">
        <f t="shared" ref="AA191" si="212">AA138</f>
        <v>BASIC+ S3</v>
      </c>
      <c r="AB191" s="32">
        <f>AB138</f>
        <v>596770.59800662799</v>
      </c>
    </row>
    <row r="192" spans="1:28" x14ac:dyDescent="0.6">
      <c r="A192" s="1"/>
      <c r="B192" s="2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6">
      <c r="A193" s="1"/>
      <c r="B193" s="2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6">
      <c r="A194" s="1"/>
      <c r="B194" s="2"/>
      <c r="C194" s="3"/>
      <c r="D194" s="3"/>
      <c r="E194" s="3"/>
      <c r="F194" s="3"/>
      <c r="G194" s="3"/>
      <c r="I194" s="3"/>
      <c r="J194" s="3"/>
      <c r="K194" s="3"/>
    </row>
    <row r="195" spans="1:11" x14ac:dyDescent="0.6">
      <c r="A195" s="1"/>
      <c r="B195" s="2"/>
      <c r="C195" s="3"/>
      <c r="D195" s="3"/>
      <c r="E195" s="3"/>
      <c r="F195" s="3"/>
      <c r="G195" s="3"/>
      <c r="I195" s="3"/>
      <c r="J195" s="3"/>
      <c r="K195" s="3"/>
    </row>
    <row r="196" spans="1:11" x14ac:dyDescent="0.6">
      <c r="A196" s="1"/>
      <c r="B196" s="2"/>
      <c r="C196" s="3"/>
      <c r="D196" s="3"/>
      <c r="E196" s="3"/>
      <c r="F196" s="3"/>
      <c r="G196" s="3"/>
      <c r="I196" s="3"/>
      <c r="J196" s="3"/>
      <c r="K196" s="3"/>
    </row>
    <row r="197" spans="1:11" x14ac:dyDescent="0.6">
      <c r="A197" s="1"/>
      <c r="B197" s="2"/>
      <c r="C197" s="3"/>
      <c r="D197" s="3"/>
      <c r="E197" s="3"/>
      <c r="F197" s="3"/>
      <c r="G197" s="3"/>
      <c r="I197" s="3"/>
      <c r="J197" s="3"/>
      <c r="K197" s="3"/>
    </row>
    <row r="198" spans="1:11" x14ac:dyDescent="0.6">
      <c r="A198" s="1"/>
      <c r="B198" s="2"/>
      <c r="C198" s="3"/>
      <c r="D198" s="3"/>
      <c r="E198" s="3"/>
      <c r="F198" s="3"/>
      <c r="G198" s="3"/>
      <c r="I198" s="3"/>
      <c r="J198" s="3"/>
      <c r="K198" s="3"/>
    </row>
    <row r="199" spans="1:11" x14ac:dyDescent="0.6">
      <c r="A199" s="1"/>
      <c r="B199" s="2"/>
      <c r="C199" s="3"/>
      <c r="D199" s="3"/>
      <c r="E199" s="3"/>
      <c r="F199" s="3"/>
      <c r="G199" s="3"/>
      <c r="I199" s="3"/>
      <c r="J199" s="3"/>
      <c r="K199" s="3"/>
    </row>
    <row r="200" spans="1:11" x14ac:dyDescent="0.6">
      <c r="A200" s="1"/>
      <c r="B200" s="2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6">
      <c r="A201" s="1"/>
      <c r="B201" s="2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6">
      <c r="A202" s="1"/>
      <c r="B202" s="2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6">
      <c r="A203" s="1"/>
      <c r="B203" s="2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6">
      <c r="A204" s="1"/>
      <c r="B204" s="2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6">
      <c r="A205" s="1"/>
      <c r="B205" s="2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6">
      <c r="A206" s="1"/>
      <c r="B206" s="2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6">
      <c r="A207" s="1"/>
      <c r="B207" s="2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6">
      <c r="A208" s="1"/>
      <c r="B208" s="2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6">
      <c r="A209" s="1"/>
      <c r="B209" s="2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6">
      <c r="A210" s="1"/>
      <c r="B210" s="2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6">
      <c r="A211" s="1"/>
      <c r="B211" s="2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6">
      <c r="A212" s="1"/>
      <c r="B212" s="2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6">
      <c r="A213" s="1"/>
      <c r="B213" s="2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6">
      <c r="A214" s="1"/>
      <c r="B214" s="2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6">
      <c r="A215" s="1"/>
      <c r="B215" s="2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6">
      <c r="A216" s="1"/>
      <c r="B216" s="2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6">
      <c r="A217" s="1"/>
      <c r="B217" s="2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6">
      <c r="A218" s="1"/>
      <c r="B218" s="2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6">
      <c r="A219" s="1"/>
      <c r="B219" s="2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6">
      <c r="A220" s="1"/>
      <c r="B220" s="2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6">
      <c r="A221" s="1"/>
      <c r="B221" s="2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6">
      <c r="A222" s="1"/>
      <c r="B222" s="2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6">
      <c r="A223" s="1"/>
      <c r="B223" s="2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6">
      <c r="A224" s="1"/>
      <c r="B224" s="2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6">
      <c r="A225" s="1"/>
      <c r="B225" s="2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6">
      <c r="A226" s="1"/>
      <c r="B226" s="2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6">
      <c r="A227" s="1"/>
      <c r="B227" s="2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6">
      <c r="A228" s="1"/>
      <c r="B228" s="2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6">
      <c r="A229" s="1"/>
      <c r="B229" s="2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6">
      <c r="A230" s="1"/>
      <c r="B230" s="2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6">
      <c r="A231" s="1"/>
      <c r="B231" s="2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6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6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6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6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6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6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6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6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6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6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</row>
  </sheetData>
  <dataValidations count="1">
    <dataValidation type="list" allowBlank="1" showInputMessage="1" showErrorMessage="1" sqref="M97" xr:uid="{B69298E5-C000-432A-91FB-3CBAC1F32C4E}">
      <formula1>"1,0"</formula1>
    </dataValidation>
  </dataValidations>
  <hyperlinks>
    <hyperlink ref="M24" r:id="rId1" xr:uid="{933FBAF7-D9C5-4F99-A8B0-F267FFF1265C}"/>
    <hyperlink ref="M60" r:id="rId2" xr:uid="{783307DB-92CA-4640-AEAB-770877F1C0D7}"/>
    <hyperlink ref="M13" r:id="rId3" xr:uid="{4C8E00BE-4B07-46E9-9EC1-EE165623D343}"/>
    <hyperlink ref="M37" r:id="rId4" xr:uid="{33E108DD-DC41-40A7-81A5-BCB4CDDB9856}"/>
    <hyperlink ref="M41" r:id="rId5" xr:uid="{5E8F44BE-2D16-478D-8453-CE9C73D6539C}"/>
    <hyperlink ref="O98" r:id="rId6" xr:uid="{F580B7ED-5851-48A5-AD13-1A477B2D9B4C}"/>
    <hyperlink ref="O99" r:id="rId7" xr:uid="{42170328-2F24-44AF-92F0-55DFA20D6667}"/>
    <hyperlink ref="O100" r:id="rId8" xr:uid="{7B425C6A-B441-4BC1-A06E-0FFBFD595411}"/>
    <hyperlink ref="M30" r:id="rId9" xr:uid="{F6A127BA-A9FA-4146-9A55-1918173B5FB1}"/>
  </hyperlinks>
  <pageMargins left="0.7" right="0.7" top="0.75" bottom="0.75" header="0.3" footer="0.3"/>
  <pageSetup paperSize="9" orientation="portrait"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9F6E3-71EB-458A-92BC-31F2D2A331C6}">
  <dimension ref="Q42:AR69"/>
  <sheetViews>
    <sheetView showGridLines="0" workbookViewId="0"/>
    <sheetView showGridLines="0" workbookViewId="1"/>
  </sheetViews>
  <sheetFormatPr defaultRowHeight="13" x14ac:dyDescent="0.6"/>
  <sheetData>
    <row r="42" spans="35:39" x14ac:dyDescent="0.6">
      <c r="AI42">
        <v>2010</v>
      </c>
      <c r="AJ42">
        <v>2011</v>
      </c>
      <c r="AK42">
        <v>2012</v>
      </c>
      <c r="AL42">
        <v>2013</v>
      </c>
      <c r="AM42">
        <v>2014</v>
      </c>
    </row>
    <row r="43" spans="35:39" x14ac:dyDescent="0.6">
      <c r="AI43">
        <f>564</f>
        <v>564</v>
      </c>
      <c r="AJ43">
        <f>(500+481)/2</f>
        <v>490.5</v>
      </c>
      <c r="AK43">
        <f>(376)</f>
        <v>376</v>
      </c>
      <c r="AL43">
        <f>(421+509)/2</f>
        <v>465</v>
      </c>
      <c r="AM43">
        <f>(897+577)</f>
        <v>1474</v>
      </c>
    </row>
    <row r="44" spans="35:39" x14ac:dyDescent="0.6">
      <c r="AI44">
        <v>10</v>
      </c>
      <c r="AJ44">
        <v>113</v>
      </c>
      <c r="AK44">
        <v>356</v>
      </c>
      <c r="AL44">
        <v>614</v>
      </c>
      <c r="AM44">
        <v>597</v>
      </c>
    </row>
    <row r="50" spans="36:44" x14ac:dyDescent="0.6">
      <c r="AO50" s="1058">
        <v>44440</v>
      </c>
      <c r="AP50" s="1058">
        <v>44621</v>
      </c>
      <c r="AQ50" s="1058">
        <v>44805</v>
      </c>
      <c r="AR50" s="1058">
        <v>45139</v>
      </c>
    </row>
    <row r="51" spans="36:44" x14ac:dyDescent="0.6">
      <c r="AO51">
        <v>2462</v>
      </c>
      <c r="AP51">
        <v>2637</v>
      </c>
      <c r="AQ51">
        <v>2433</v>
      </c>
      <c r="AR51">
        <v>2331</v>
      </c>
    </row>
    <row r="53" spans="36:44" x14ac:dyDescent="0.6">
      <c r="AJ53">
        <v>2015</v>
      </c>
      <c r="AK53">
        <v>2016</v>
      </c>
      <c r="AL53">
        <v>2017</v>
      </c>
      <c r="AM53">
        <v>2018</v>
      </c>
      <c r="AN53">
        <v>2019</v>
      </c>
      <c r="AO53">
        <v>2020</v>
      </c>
      <c r="AP53">
        <v>2021</v>
      </c>
      <c r="AQ53">
        <v>2022</v>
      </c>
      <c r="AR53">
        <v>2023</v>
      </c>
    </row>
    <row r="54" spans="36:44" x14ac:dyDescent="0.6">
      <c r="AJ54" s="18">
        <f>(867+1027)/2</f>
        <v>947</v>
      </c>
      <c r="AK54" s="18">
        <f>(1103+1266)/2</f>
        <v>1184.5</v>
      </c>
      <c r="AL54" s="18">
        <f>(1509+1228)/2</f>
        <v>1368.5</v>
      </c>
      <c r="AM54" s="18">
        <f>(2355+1726)/2</f>
        <v>2040.5</v>
      </c>
      <c r="AN54" s="18">
        <f>(2642+2735)/2</f>
        <v>2688.5</v>
      </c>
      <c r="AO54" s="29">
        <f>(2499+2556)/2</f>
        <v>2527.5</v>
      </c>
      <c r="AP54">
        <f>AO51</f>
        <v>2462</v>
      </c>
      <c r="AQ54">
        <f>(AP51+AQ51)/2</f>
        <v>2535</v>
      </c>
      <c r="AR54">
        <f>AR51</f>
        <v>2331</v>
      </c>
    </row>
    <row r="68" spans="17:19" x14ac:dyDescent="0.6">
      <c r="Q68" t="s">
        <v>1027</v>
      </c>
      <c r="R68">
        <v>0.30674899999999999</v>
      </c>
      <c r="S68" t="s">
        <v>1028</v>
      </c>
    </row>
    <row r="69" spans="17:19" x14ac:dyDescent="0.6">
      <c r="R69">
        <v>4.6688E-2</v>
      </c>
      <c r="S69" t="s">
        <v>1028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6962-8373-4E6E-B212-39FFE7E8774A}">
  <sheetPr>
    <tabColor theme="8"/>
  </sheetPr>
  <dimension ref="A1:W85"/>
  <sheetViews>
    <sheetView showGridLines="0" workbookViewId="0">
      <selection activeCell="D27" sqref="D27"/>
    </sheetView>
    <sheetView showGridLines="0" workbookViewId="1"/>
  </sheetViews>
  <sheetFormatPr defaultRowHeight="13" x14ac:dyDescent="0.6"/>
  <cols>
    <col min="3" max="3" width="15" customWidth="1"/>
    <col min="4" max="4" width="13.26953125" customWidth="1"/>
    <col min="5" max="5" width="12.54296875" customWidth="1"/>
    <col min="6" max="7" width="13.7265625" customWidth="1"/>
    <col min="8" max="8" width="13.86328125" customWidth="1"/>
    <col min="9" max="9" width="15.54296875" customWidth="1"/>
    <col min="10" max="10" width="12.1328125" customWidth="1"/>
    <col min="11" max="11" width="24.26953125" customWidth="1"/>
    <col min="12" max="12" width="26.40625" customWidth="1"/>
    <col min="16" max="16" width="37.40625" bestFit="1" customWidth="1"/>
    <col min="17" max="17" width="14.1328125" customWidth="1"/>
    <col min="18" max="18" width="15" customWidth="1"/>
    <col min="19" max="20" width="14.1328125" customWidth="1"/>
    <col min="21" max="21" width="18" customWidth="1"/>
    <col min="22" max="22" width="15.7265625" customWidth="1"/>
    <col min="23" max="23" width="12.40625" customWidth="1"/>
    <col min="26" max="26" width="13.40625" customWidth="1"/>
    <col min="27" max="27" width="11.54296875" customWidth="1"/>
  </cols>
  <sheetData>
    <row r="1" spans="1:23" ht="21.25" thickBot="1" x14ac:dyDescent="1.05">
      <c r="B1" s="42" t="s">
        <v>402</v>
      </c>
      <c r="C1" s="42"/>
    </row>
    <row r="2" spans="1:23" ht="14.5" x14ac:dyDescent="0.7">
      <c r="P2" s="58" t="s">
        <v>403</v>
      </c>
      <c r="Q2" s="59">
        <v>2018</v>
      </c>
      <c r="R2" s="60">
        <v>2019</v>
      </c>
      <c r="S2" s="61">
        <v>2020</v>
      </c>
      <c r="T2" s="786">
        <v>2021</v>
      </c>
      <c r="U2" s="786">
        <v>2022</v>
      </c>
      <c r="V2" s="786">
        <v>2023</v>
      </c>
    </row>
    <row r="3" spans="1:23" ht="15.25" thickBot="1" x14ac:dyDescent="0.85">
      <c r="B3" s="43"/>
      <c r="C3" t="s">
        <v>404</v>
      </c>
      <c r="P3" s="62"/>
      <c r="Q3" s="63" t="s">
        <v>405</v>
      </c>
      <c r="R3" s="64" t="s">
        <v>405</v>
      </c>
      <c r="S3" s="65" t="s">
        <v>405</v>
      </c>
      <c r="T3" s="787" t="s">
        <v>405</v>
      </c>
      <c r="U3" s="787" t="s">
        <v>405</v>
      </c>
      <c r="V3" s="787" t="s">
        <v>405</v>
      </c>
    </row>
    <row r="4" spans="1:23" x14ac:dyDescent="0.6">
      <c r="P4" s="66" t="s">
        <v>406</v>
      </c>
      <c r="Q4" s="67">
        <v>792968429</v>
      </c>
      <c r="R4" s="68">
        <v>784052813</v>
      </c>
      <c r="S4" s="69">
        <v>756080790</v>
      </c>
      <c r="T4" s="788">
        <v>761761999.28499877</v>
      </c>
      <c r="U4" s="839">
        <v>776494772</v>
      </c>
      <c r="V4" s="912">
        <v>780673968.62599933</v>
      </c>
    </row>
    <row r="5" spans="1:23" ht="13.75" thickBot="1" x14ac:dyDescent="0.75">
      <c r="P5" s="70" t="s">
        <v>407</v>
      </c>
      <c r="Q5" s="71">
        <v>11589116</v>
      </c>
      <c r="R5" s="72">
        <v>12540999</v>
      </c>
      <c r="S5" s="73">
        <v>13820892</v>
      </c>
      <c r="T5" s="789">
        <v>14275018.440999985</v>
      </c>
      <c r="U5" s="791">
        <v>14551103</v>
      </c>
      <c r="V5" s="913">
        <v>12199073</v>
      </c>
    </row>
    <row r="6" spans="1:23" ht="18" x14ac:dyDescent="0.8">
      <c r="C6" s="44" t="s">
        <v>84</v>
      </c>
      <c r="P6" s="66" t="s">
        <v>408</v>
      </c>
      <c r="Q6" s="67">
        <f>Q4+Q5</f>
        <v>804557545</v>
      </c>
      <c r="R6" s="68">
        <f>R4+R5</f>
        <v>796593812</v>
      </c>
      <c r="S6" s="69">
        <f>S4+S5</f>
        <v>769901682</v>
      </c>
      <c r="T6" s="788">
        <f>T4+T5</f>
        <v>776037017.72599876</v>
      </c>
      <c r="U6" s="839">
        <v>791045875</v>
      </c>
      <c r="V6" s="914">
        <f>V5+V4</f>
        <v>792873041.62599933</v>
      </c>
    </row>
    <row r="7" spans="1:23" ht="15.25" thickBot="1" x14ac:dyDescent="0.85">
      <c r="D7" s="1079" t="s">
        <v>409</v>
      </c>
      <c r="E7" s="1079"/>
      <c r="F7" s="1079"/>
      <c r="G7" s="45"/>
      <c r="P7" s="74" t="s">
        <v>410</v>
      </c>
      <c r="Q7" s="75">
        <f>Q14/Q13*Q6</f>
        <v>30623776.80246878</v>
      </c>
      <c r="R7" s="76">
        <f>R14/R13*R6</f>
        <v>28003857.148948714</v>
      </c>
      <c r="S7" s="77">
        <f>S14/S13*S6</f>
        <v>35352695.902842365</v>
      </c>
      <c r="T7" s="790">
        <f>T14/T13*T6</f>
        <v>35634421.041589469</v>
      </c>
      <c r="U7" s="840">
        <v>36323605</v>
      </c>
      <c r="V7" s="913">
        <f>V14/V13*V6</f>
        <v>36916316.26467216</v>
      </c>
      <c r="W7">
        <v>35634421.041589469</v>
      </c>
    </row>
    <row r="8" spans="1:23" ht="15.25" thickBot="1" x14ac:dyDescent="0.85">
      <c r="C8" s="46" t="s">
        <v>411</v>
      </c>
      <c r="D8" s="46" t="s">
        <v>412</v>
      </c>
      <c r="E8" s="46" t="s">
        <v>413</v>
      </c>
      <c r="F8" s="46" t="s">
        <v>414</v>
      </c>
      <c r="G8" s="46" t="s">
        <v>415</v>
      </c>
      <c r="H8" s="46" t="s">
        <v>416</v>
      </c>
      <c r="I8" s="46" t="s">
        <v>417</v>
      </c>
      <c r="J8" s="46" t="s">
        <v>418</v>
      </c>
      <c r="K8" s="47" t="s">
        <v>419</v>
      </c>
      <c r="L8" s="48"/>
      <c r="P8" s="78" t="s">
        <v>420</v>
      </c>
      <c r="Q8" s="79">
        <f>Q6+Q7</f>
        <v>835181321.80246878</v>
      </c>
      <c r="R8" s="80">
        <f>R6+R7</f>
        <v>824597669.14894867</v>
      </c>
      <c r="S8" s="81">
        <f>S6+S7</f>
        <v>805254377.9028424</v>
      </c>
      <c r="T8" s="81">
        <f>T6+T7</f>
        <v>811671438.76758826</v>
      </c>
      <c r="U8" s="841">
        <v>827369479</v>
      </c>
      <c r="V8" s="81">
        <f>V6+V7</f>
        <v>829789357.89067149</v>
      </c>
    </row>
    <row r="9" spans="1:23" ht="15.25" thickTop="1" x14ac:dyDescent="0.7">
      <c r="C9">
        <v>2019</v>
      </c>
      <c r="D9" s="51">
        <v>523.1</v>
      </c>
      <c r="E9" s="51">
        <v>447.8</v>
      </c>
      <c r="F9" s="31">
        <f>D9+E9</f>
        <v>970.90000000000009</v>
      </c>
      <c r="G9" s="32">
        <f>F9*1*10^6</f>
        <v>970900000.00000012</v>
      </c>
      <c r="H9" s="55">
        <v>8</v>
      </c>
      <c r="I9" s="32">
        <f>G9*$H$9</f>
        <v>7767200000.000001</v>
      </c>
      <c r="J9" s="32">
        <f>I9/(1000*1000)</f>
        <v>7767.2000000000007</v>
      </c>
      <c r="K9" s="49" t="s">
        <v>421</v>
      </c>
      <c r="L9" s="50"/>
      <c r="P9" s="82" t="s">
        <v>422</v>
      </c>
      <c r="Q9" s="83"/>
      <c r="R9" s="83"/>
      <c r="S9" s="83"/>
      <c r="W9">
        <f>V7/V6</f>
        <v>4.6560185964912272E-2</v>
      </c>
    </row>
    <row r="10" spans="1:23" ht="14.5" x14ac:dyDescent="0.7">
      <c r="A10" s="811"/>
      <c r="C10">
        <v>2018</v>
      </c>
      <c r="D10" s="51">
        <v>494.8</v>
      </c>
      <c r="E10" s="51">
        <v>452.6</v>
      </c>
      <c r="F10" s="31">
        <f>D10+E10</f>
        <v>947.40000000000009</v>
      </c>
      <c r="G10" s="32">
        <f>F10*1*10^6</f>
        <v>947400000.00000012</v>
      </c>
      <c r="H10" s="55">
        <v>7.9</v>
      </c>
      <c r="I10" s="32">
        <f>G10*$H$10</f>
        <v>7484460000.000001</v>
      </c>
      <c r="J10" s="32">
        <f>I10/(1000*1000)</f>
        <v>7484.4600000000009</v>
      </c>
      <c r="K10" s="50" t="s">
        <v>421</v>
      </c>
      <c r="L10" s="50"/>
      <c r="P10" s="48"/>
      <c r="Q10" s="83"/>
      <c r="R10" s="83"/>
      <c r="S10" s="83"/>
    </row>
    <row r="11" spans="1:23" ht="14.25" x14ac:dyDescent="0.65">
      <c r="C11">
        <v>2017</v>
      </c>
      <c r="D11" s="51">
        <v>573.9</v>
      </c>
      <c r="E11" s="51">
        <v>511.5</v>
      </c>
      <c r="F11" s="31">
        <f>D11+E11</f>
        <v>1085.4000000000001</v>
      </c>
      <c r="G11" s="32">
        <f>F11*1*10^6</f>
        <v>1085400000</v>
      </c>
      <c r="H11" s="55">
        <v>8.1</v>
      </c>
      <c r="I11" s="32">
        <f>G11*$H$11</f>
        <v>8791740000</v>
      </c>
      <c r="J11" s="32">
        <f>I11/(1000*1000)</f>
        <v>8791.74</v>
      </c>
      <c r="K11" s="50" t="s">
        <v>421</v>
      </c>
      <c r="L11" s="50"/>
      <c r="Q11" s="84"/>
      <c r="R11" s="84"/>
      <c r="S11" s="84"/>
    </row>
    <row r="12" spans="1:23" ht="15.25" thickBot="1" x14ac:dyDescent="0.85">
      <c r="C12">
        <v>2016</v>
      </c>
      <c r="D12" s="51">
        <v>512</v>
      </c>
      <c r="E12" s="51">
        <v>471.2</v>
      </c>
      <c r="F12" s="31">
        <f>D12+E12</f>
        <v>983.2</v>
      </c>
      <c r="G12" s="32">
        <f>F12*1*10^6</f>
        <v>983200000</v>
      </c>
      <c r="H12" s="54">
        <v>8.9</v>
      </c>
      <c r="I12" s="32">
        <f>G12*$H$12</f>
        <v>8750480000</v>
      </c>
      <c r="J12" s="32">
        <f>I12/(1000*1000)</f>
        <v>8750.48</v>
      </c>
      <c r="K12" s="50" t="s">
        <v>421</v>
      </c>
      <c r="L12" s="50"/>
      <c r="P12" s="48" t="s">
        <v>423</v>
      </c>
      <c r="Q12" s="32"/>
      <c r="R12" s="32"/>
      <c r="S12" s="32"/>
    </row>
    <row r="13" spans="1:23" ht="14.25" x14ac:dyDescent="0.65">
      <c r="D13" s="51"/>
      <c r="E13" s="51"/>
      <c r="F13" s="51"/>
      <c r="G13" s="32"/>
      <c r="H13" s="52"/>
      <c r="I13" s="32"/>
      <c r="J13" s="38"/>
      <c r="K13" s="50"/>
      <c r="L13" s="50"/>
      <c r="P13" s="916" t="s">
        <v>424</v>
      </c>
      <c r="Q13" s="67">
        <v>1126269152</v>
      </c>
      <c r="R13" s="68">
        <v>1107024245</v>
      </c>
      <c r="S13" s="69">
        <v>1073651628</v>
      </c>
      <c r="T13" s="788">
        <v>1090940006.7269988</v>
      </c>
      <c r="U13" s="788">
        <v>1155932000</v>
      </c>
      <c r="V13" s="915">
        <f>1140*1*10^6</f>
        <v>1140000000</v>
      </c>
    </row>
    <row r="14" spans="1:23" ht="15" thickBot="1" x14ac:dyDescent="0.8">
      <c r="D14" s="94" t="s">
        <v>425</v>
      </c>
      <c r="E14" s="46" t="s">
        <v>426</v>
      </c>
      <c r="F14" s="46" t="s">
        <v>427</v>
      </c>
      <c r="G14" s="46" t="s">
        <v>415</v>
      </c>
      <c r="H14" s="46" t="s">
        <v>416</v>
      </c>
      <c r="I14" s="46" t="s">
        <v>417</v>
      </c>
      <c r="J14" s="46" t="s">
        <v>418</v>
      </c>
      <c r="K14" s="50"/>
      <c r="L14" s="50" t="s">
        <v>428</v>
      </c>
      <c r="P14" s="70" t="s">
        <v>429</v>
      </c>
      <c r="Q14" s="71">
        <v>42869046.899999902</v>
      </c>
      <c r="R14" s="72">
        <v>38916883.799999699</v>
      </c>
      <c r="S14" s="73">
        <v>49300424.194002002</v>
      </c>
      <c r="T14" s="791">
        <f>S14/S13*T13</f>
        <v>50094279.838272117</v>
      </c>
      <c r="U14" s="791">
        <v>53078612</v>
      </c>
      <c r="V14" s="791">
        <v>53078612</v>
      </c>
      <c r="W14">
        <f>U8/1000+F28</f>
        <v>5013283.3836996322</v>
      </c>
    </row>
    <row r="15" spans="1:23" ht="14.5" thickTop="1" thickBot="1" x14ac:dyDescent="0.75">
      <c r="C15">
        <v>2023</v>
      </c>
      <c r="D15" s="32">
        <f>V4</f>
        <v>780673968.62599933</v>
      </c>
      <c r="E15" s="32">
        <f>V5</f>
        <v>12199073</v>
      </c>
      <c r="F15" s="51">
        <f>D15+E15</f>
        <v>792873041.62599933</v>
      </c>
      <c r="G15" s="89">
        <f>V8</f>
        <v>829789357.89067149</v>
      </c>
      <c r="H15">
        <f>7.3+0.3</f>
        <v>7.6</v>
      </c>
      <c r="I15" s="32">
        <f t="shared" ref="I15:I20" si="0">G15*$H15</f>
        <v>6306399119.9691029</v>
      </c>
      <c r="J15" s="32">
        <f>I15/(1000*1000)</f>
        <v>6306.3991199691027</v>
      </c>
      <c r="K15" s="31">
        <f>J15-L15</f>
        <v>6025.8351163575944</v>
      </c>
      <c r="L15" s="31">
        <f>V7*H15/1000000</f>
        <v>280.56400361150844</v>
      </c>
      <c r="P15" s="66" t="s">
        <v>430</v>
      </c>
      <c r="Q15" s="67">
        <f t="shared" ref="Q15:V15" si="1">Q13+Q14</f>
        <v>1169138198.8999999</v>
      </c>
      <c r="R15" s="68">
        <f t="shared" si="1"/>
        <v>1145941128.7999997</v>
      </c>
      <c r="S15" s="69">
        <f t="shared" si="1"/>
        <v>1122952052.1940019</v>
      </c>
      <c r="T15" s="792">
        <f t="shared" si="1"/>
        <v>1141034286.5652709</v>
      </c>
      <c r="U15" s="792">
        <f t="shared" si="1"/>
        <v>1209010612</v>
      </c>
      <c r="V15" s="792">
        <f t="shared" si="1"/>
        <v>1193078612</v>
      </c>
    </row>
    <row r="16" spans="1:23" ht="13.75" thickBot="1" x14ac:dyDescent="0.75">
      <c r="C16">
        <v>2022</v>
      </c>
      <c r="D16" s="32">
        <f>U4</f>
        <v>776494772</v>
      </c>
      <c r="E16" s="32">
        <f>U5</f>
        <v>14551103</v>
      </c>
      <c r="F16" s="51">
        <f>D16+E16</f>
        <v>791045875</v>
      </c>
      <c r="G16" s="89">
        <f>U8</f>
        <v>827369479</v>
      </c>
      <c r="H16" s="838">
        <f>7.6+0.4</f>
        <v>8</v>
      </c>
      <c r="I16" s="32">
        <f t="shared" si="0"/>
        <v>6618955832</v>
      </c>
      <c r="J16" s="32">
        <f>I16/(1000*1000)</f>
        <v>6618.9558319999996</v>
      </c>
      <c r="K16" s="31">
        <f>J16-L16</f>
        <v>6328.3669919999993</v>
      </c>
      <c r="L16" s="31">
        <f>U7*H16/1000000</f>
        <v>290.58884</v>
      </c>
      <c r="P16" s="85" t="s">
        <v>431</v>
      </c>
      <c r="Q16" s="86">
        <f t="shared" ref="Q16:V16" si="2">Q14/Q15*100</f>
        <v>3.6667219444488128</v>
      </c>
      <c r="R16" s="87">
        <f t="shared" si="2"/>
        <v>3.3960630980015933</v>
      </c>
      <c r="S16" s="88">
        <f t="shared" si="2"/>
        <v>4.3902519344151685</v>
      </c>
      <c r="T16" s="88">
        <f t="shared" si="2"/>
        <v>4.3902519344151685</v>
      </c>
      <c r="U16" s="88">
        <f t="shared" si="2"/>
        <v>4.3902519525610249</v>
      </c>
      <c r="V16" s="88">
        <f t="shared" si="2"/>
        <v>4.4488780090544449</v>
      </c>
    </row>
    <row r="17" spans="3:22" x14ac:dyDescent="0.6">
      <c r="C17">
        <v>2021</v>
      </c>
      <c r="D17" s="51">
        <f>T4</f>
        <v>761761999.28499877</v>
      </c>
      <c r="E17" s="51">
        <f>T5</f>
        <v>14275018.440999985</v>
      </c>
      <c r="F17" s="51">
        <f>D17+E17</f>
        <v>776037017.72599876</v>
      </c>
      <c r="G17" s="51">
        <f>F17+T7</f>
        <v>811671438.76758826</v>
      </c>
      <c r="H17">
        <f>7.4+0.3</f>
        <v>7.7</v>
      </c>
      <c r="I17" s="32">
        <f t="shared" si="0"/>
        <v>6249870078.5104294</v>
      </c>
      <c r="J17" s="31">
        <f>I17/1000000</f>
        <v>6249.8700785104293</v>
      </c>
      <c r="K17" s="31">
        <f>J17-L17</f>
        <v>5975.4850364901904</v>
      </c>
      <c r="L17" s="31">
        <f>T7*H17/1000000</f>
        <v>274.38504202023893</v>
      </c>
      <c r="M17" s="32">
        <f>J18-L18</f>
        <v>6390.1839606000012</v>
      </c>
      <c r="S17" s="89"/>
    </row>
    <row r="18" spans="3:22" ht="15" thickBot="1" x14ac:dyDescent="0.8">
      <c r="C18">
        <v>2020</v>
      </c>
      <c r="D18" s="32">
        <f>S4</f>
        <v>756080790</v>
      </c>
      <c r="E18" s="32">
        <f>S5</f>
        <v>13820892</v>
      </c>
      <c r="F18" s="32">
        <f>S6</f>
        <v>769901682</v>
      </c>
      <c r="G18" s="32">
        <f>S8</f>
        <v>805254377.9028424</v>
      </c>
      <c r="H18" s="54">
        <v>8.3000000000000007</v>
      </c>
      <c r="I18" s="32">
        <f t="shared" si="0"/>
        <v>6683611336.5935926</v>
      </c>
      <c r="J18" s="32">
        <f>I18/(1000*1000)</f>
        <v>6683.6113365935926</v>
      </c>
      <c r="K18" s="50"/>
      <c r="L18" s="714">
        <f>H18*S7/10^6</f>
        <v>293.42737599359168</v>
      </c>
      <c r="Q18" t="s">
        <v>432</v>
      </c>
      <c r="S18" s="89"/>
    </row>
    <row r="19" spans="3:22" ht="14.25" x14ac:dyDescent="0.65">
      <c r="C19">
        <v>2019</v>
      </c>
      <c r="D19" s="32">
        <f>R4</f>
        <v>784052813</v>
      </c>
      <c r="E19" s="32">
        <f>R5</f>
        <v>12540999</v>
      </c>
      <c r="F19" s="32">
        <f>R6</f>
        <v>796593812</v>
      </c>
      <c r="G19" s="32">
        <f>R8</f>
        <v>824597669.14894867</v>
      </c>
      <c r="H19" s="54">
        <v>8</v>
      </c>
      <c r="I19" s="32">
        <f t="shared" si="0"/>
        <v>6596781353.1915894</v>
      </c>
      <c r="J19" s="32">
        <f>I19/(1000*1000)</f>
        <v>6596.781353191589</v>
      </c>
      <c r="K19" s="50"/>
      <c r="L19" s="714">
        <f>H19*R7/10^6</f>
        <v>224.03085719158972</v>
      </c>
      <c r="P19" s="66" t="s">
        <v>433</v>
      </c>
      <c r="Q19" s="67">
        <f t="shared" ref="Q19:V19" si="3">Q6*Q16/100</f>
        <v>29500888.058233634</v>
      </c>
      <c r="R19" s="68">
        <f t="shared" si="3"/>
        <v>27052828.490296189</v>
      </c>
      <c r="S19" s="69">
        <f t="shared" si="3"/>
        <v>33800623.487099916</v>
      </c>
      <c r="T19" s="69">
        <f t="shared" si="3"/>
        <v>34069980.182493441</v>
      </c>
      <c r="U19" s="69">
        <f t="shared" si="3"/>
        <v>34728906.972840942</v>
      </c>
      <c r="V19" s="69">
        <f t="shared" si="3"/>
        <v>35273954.388620183</v>
      </c>
    </row>
    <row r="20" spans="3:22" ht="15" thickBot="1" x14ac:dyDescent="0.8">
      <c r="C20">
        <v>2018</v>
      </c>
      <c r="D20" s="32">
        <f>Q4</f>
        <v>792968429</v>
      </c>
      <c r="E20" s="32">
        <f>Q5</f>
        <v>11589116</v>
      </c>
      <c r="F20" s="32">
        <f>Q6</f>
        <v>804557545</v>
      </c>
      <c r="G20" s="32">
        <f>Q8</f>
        <v>835181321.80246878</v>
      </c>
      <c r="H20" s="54">
        <v>7.9</v>
      </c>
      <c r="I20" s="32">
        <f t="shared" si="0"/>
        <v>6597932442.2395039</v>
      </c>
      <c r="J20" s="32">
        <f>I20/(1000*1000)</f>
        <v>6597.9324422395039</v>
      </c>
      <c r="K20" s="50"/>
      <c r="L20" s="714">
        <f>H20*Q7/10^6</f>
        <v>241.92783673950339</v>
      </c>
      <c r="P20" s="85" t="s">
        <v>434</v>
      </c>
      <c r="Q20" s="90">
        <f t="shared" ref="Q20:V20" si="4">Q7-Q19</f>
        <v>1122888.7442351468</v>
      </c>
      <c r="R20" s="91">
        <f t="shared" si="4"/>
        <v>951028.6586525254</v>
      </c>
      <c r="S20" s="92">
        <f t="shared" si="4"/>
        <v>1552072.4157424495</v>
      </c>
      <c r="T20" s="92">
        <f t="shared" si="4"/>
        <v>1564440.8590960279</v>
      </c>
      <c r="U20" s="92">
        <f t="shared" si="4"/>
        <v>1594698.0271590576</v>
      </c>
      <c r="V20" s="92">
        <f t="shared" si="4"/>
        <v>1642361.8760519773</v>
      </c>
    </row>
    <row r="21" spans="3:22" ht="14.25" x14ac:dyDescent="0.65">
      <c r="C21" s="53"/>
      <c r="D21" s="53"/>
      <c r="E21" s="53"/>
      <c r="F21" s="53"/>
      <c r="G21" s="53"/>
      <c r="H21" s="53"/>
      <c r="I21" s="53"/>
      <c r="J21" s="53"/>
      <c r="K21" s="53"/>
      <c r="L21" s="53"/>
      <c r="Q21" s="32"/>
      <c r="R21" s="32"/>
      <c r="S21" s="32"/>
      <c r="T21" s="32"/>
      <c r="U21" s="32"/>
    </row>
    <row r="22" spans="3:22" ht="14.25" x14ac:dyDescent="0.65">
      <c r="C22" s="53"/>
      <c r="D22" s="53"/>
      <c r="E22" s="53"/>
      <c r="F22" s="53"/>
      <c r="G22" s="53"/>
      <c r="H22" s="53"/>
      <c r="I22" s="53"/>
      <c r="J22" s="53"/>
      <c r="K22" s="53"/>
      <c r="L22" s="53"/>
      <c r="Q22" s="32"/>
      <c r="R22" s="32"/>
      <c r="S22" s="32"/>
      <c r="T22" s="32"/>
    </row>
    <row r="23" spans="3:22" ht="14.25" x14ac:dyDescent="0.65">
      <c r="C23" s="53"/>
      <c r="D23" s="53"/>
      <c r="E23" s="53"/>
      <c r="F23" s="53"/>
      <c r="G23" s="53"/>
      <c r="H23" s="53"/>
      <c r="I23" s="53"/>
      <c r="J23" s="53"/>
      <c r="K23" s="96"/>
      <c r="L23" s="53"/>
      <c r="Q23" s="32"/>
      <c r="R23" s="32"/>
      <c r="S23" s="32"/>
      <c r="T23" s="32"/>
    </row>
    <row r="24" spans="3:22" ht="18" x14ac:dyDescent="0.8">
      <c r="C24" s="44" t="s">
        <v>435</v>
      </c>
      <c r="D24" s="53"/>
      <c r="E24" s="53"/>
      <c r="F24" s="53"/>
      <c r="G24" s="53"/>
      <c r="H24" s="53"/>
      <c r="I24" s="53"/>
      <c r="J24" s="53"/>
      <c r="K24" s="53"/>
      <c r="L24" s="53"/>
    </row>
    <row r="25" spans="3:22" ht="14.5" x14ac:dyDescent="0.7">
      <c r="C25" s="53"/>
      <c r="D25" s="53"/>
      <c r="E25" s="53"/>
      <c r="F25" s="53"/>
      <c r="G25" s="53"/>
      <c r="H25" s="53"/>
      <c r="I25" s="53"/>
      <c r="J25" s="53"/>
      <c r="K25" s="53"/>
      <c r="M25" s="45"/>
    </row>
    <row r="26" spans="3:22" ht="15.25" thickBot="1" x14ac:dyDescent="0.85">
      <c r="C26" s="46" t="s">
        <v>411</v>
      </c>
      <c r="D26" s="94" t="s">
        <v>436</v>
      </c>
      <c r="E26" s="94" t="s">
        <v>437</v>
      </c>
      <c r="F26" s="94" t="s">
        <v>438</v>
      </c>
      <c r="G26" s="46" t="s">
        <v>416</v>
      </c>
      <c r="H26" s="46"/>
      <c r="I26" s="46" t="s">
        <v>439</v>
      </c>
      <c r="J26" s="46" t="s">
        <v>418</v>
      </c>
      <c r="K26" s="47" t="s">
        <v>440</v>
      </c>
      <c r="L26" s="45" t="s">
        <v>441</v>
      </c>
      <c r="M26" s="45"/>
    </row>
    <row r="27" spans="3:22" ht="15.25" thickTop="1" x14ac:dyDescent="0.7">
      <c r="C27">
        <v>2023</v>
      </c>
      <c r="D27" s="25">
        <v>84.98</v>
      </c>
      <c r="E27" s="51">
        <f>D27*D41+E41</f>
        <v>502.24865392904934</v>
      </c>
      <c r="F27" s="32">
        <f>E27*8760</f>
        <v>4399698.2084184727</v>
      </c>
      <c r="G27" s="51">
        <f>I27/58</f>
        <v>3.5379310344827584</v>
      </c>
      <c r="H27" s="31">
        <f>F27*1000*G27/10^6</f>
        <v>15565.828833921903</v>
      </c>
      <c r="I27">
        <v>205.2</v>
      </c>
      <c r="J27" s="31">
        <f>D27*I27/10^6*10^6</f>
        <v>17437.896000000001</v>
      </c>
      <c r="K27" s="96" t="s">
        <v>737</v>
      </c>
      <c r="L27" s="45"/>
      <c r="M27" s="45"/>
    </row>
    <row r="28" spans="3:22" ht="14.5" x14ac:dyDescent="0.7">
      <c r="C28">
        <v>2022</v>
      </c>
      <c r="D28" s="25">
        <v>79.819999999999993</v>
      </c>
      <c r="E28" s="51">
        <f>D28*D41+E41</f>
        <v>477.84405304790323</v>
      </c>
      <c r="F28" s="32">
        <f>E28*8760</f>
        <v>4185913.9046996324</v>
      </c>
      <c r="G28" s="51">
        <f t="shared" ref="G28:G35" si="5">I28/58</f>
        <v>3.987931034482759</v>
      </c>
      <c r="H28" s="31">
        <f>F28*1000*G28/10^6</f>
        <v>16693.135968224571</v>
      </c>
      <c r="I28" s="838">
        <v>231.3</v>
      </c>
      <c r="J28" s="31">
        <f>D28*I28/10^6*10^6</f>
        <v>18462.365999999998</v>
      </c>
      <c r="K28" s="96" t="s">
        <v>442</v>
      </c>
      <c r="L28" s="45"/>
      <c r="M28" s="45"/>
    </row>
    <row r="29" spans="3:22" ht="15.75" customHeight="1" x14ac:dyDescent="0.7">
      <c r="C29">
        <v>2021</v>
      </c>
      <c r="D29" s="25">
        <v>80.510000000000005</v>
      </c>
      <c r="E29" s="25">
        <v>478</v>
      </c>
      <c r="F29" s="32">
        <f t="shared" ref="F29:F35" si="6">E29*8760</f>
        <v>4187280</v>
      </c>
      <c r="G29" s="51">
        <f t="shared" si="5"/>
        <v>3.7275862068965515</v>
      </c>
      <c r="H29" s="31">
        <f>F29*1000*G29/10^6</f>
        <v>15608.447172413791</v>
      </c>
      <c r="I29">
        <v>216.2</v>
      </c>
      <c r="J29" s="31">
        <f>D29*I29/10^6*10^6</f>
        <v>17406.261999999999</v>
      </c>
      <c r="K29" s="96" t="s">
        <v>443</v>
      </c>
      <c r="L29" s="45"/>
      <c r="M29" s="911"/>
    </row>
    <row r="30" spans="3:22" ht="14.25" customHeight="1" x14ac:dyDescent="0.6">
      <c r="C30">
        <v>2020</v>
      </c>
      <c r="D30" s="25">
        <v>82.53</v>
      </c>
      <c r="E30" s="25">
        <v>489.7</v>
      </c>
      <c r="F30" s="32">
        <f t="shared" si="6"/>
        <v>4289772</v>
      </c>
      <c r="G30" s="51">
        <f t="shared" si="5"/>
        <v>3.6793103448275861</v>
      </c>
      <c r="H30" s="31">
        <f>F30*1000*G30/10^6</f>
        <v>15783.402496551724</v>
      </c>
      <c r="I30">
        <v>213.4</v>
      </c>
      <c r="J30" s="31">
        <f t="shared" ref="J30:J35" si="7">D30*I30/10^6*10^6</f>
        <v>17611.902000000002</v>
      </c>
      <c r="K30" s="96" t="s">
        <v>444</v>
      </c>
      <c r="L30" s="911" t="s">
        <v>445</v>
      </c>
      <c r="M30" s="911"/>
    </row>
    <row r="31" spans="3:22" ht="14.25" customHeight="1" x14ac:dyDescent="0.6">
      <c r="C31">
        <v>2019</v>
      </c>
      <c r="D31">
        <v>75.430000000000007</v>
      </c>
      <c r="E31">
        <v>456.2</v>
      </c>
      <c r="F31" s="32">
        <f t="shared" si="6"/>
        <v>3996312</v>
      </c>
      <c r="G31" s="51">
        <f t="shared" si="5"/>
        <v>3.7241379310344827</v>
      </c>
      <c r="H31" s="31">
        <f t="shared" ref="H31:H35" si="8">F31*1000*G31/10^6</f>
        <v>14882.817103448275</v>
      </c>
      <c r="I31">
        <v>216</v>
      </c>
      <c r="J31" s="31">
        <f t="shared" si="7"/>
        <v>16292.880000000003</v>
      </c>
      <c r="K31" s="96" t="s">
        <v>446</v>
      </c>
      <c r="L31" s="911"/>
      <c r="M31" s="911"/>
    </row>
    <row r="32" spans="3:22" ht="14.25" customHeight="1" x14ac:dyDescent="0.6">
      <c r="C32">
        <v>2018</v>
      </c>
      <c r="D32">
        <v>77.52</v>
      </c>
      <c r="E32">
        <v>472.6</v>
      </c>
      <c r="F32" s="32">
        <f t="shared" si="6"/>
        <v>4139976</v>
      </c>
      <c r="G32" s="51">
        <f t="shared" si="5"/>
        <v>3.579310344827586</v>
      </c>
      <c r="H32" s="31">
        <f t="shared" si="8"/>
        <v>14818.25892413793</v>
      </c>
      <c r="I32">
        <v>207.6</v>
      </c>
      <c r="J32" s="31">
        <f t="shared" si="7"/>
        <v>16093.152</v>
      </c>
      <c r="K32" s="96" t="s">
        <v>447</v>
      </c>
      <c r="L32" s="911"/>
      <c r="M32" s="911"/>
    </row>
    <row r="33" spans="3:13" ht="14.25" customHeight="1" x14ac:dyDescent="0.6">
      <c r="C33">
        <v>2017</v>
      </c>
      <c r="D33">
        <v>72.64</v>
      </c>
      <c r="E33">
        <v>446</v>
      </c>
      <c r="F33" s="32">
        <f t="shared" si="6"/>
        <v>3906960</v>
      </c>
      <c r="G33" s="51">
        <f t="shared" si="5"/>
        <v>3.5</v>
      </c>
      <c r="H33" s="31">
        <f t="shared" si="8"/>
        <v>13674.36</v>
      </c>
      <c r="I33">
        <v>203</v>
      </c>
      <c r="J33" s="31">
        <f t="shared" si="7"/>
        <v>14745.92</v>
      </c>
      <c r="K33" s="96" t="s">
        <v>448</v>
      </c>
      <c r="L33" s="911"/>
      <c r="M33" s="911"/>
    </row>
    <row r="34" spans="3:13" ht="14.25" customHeight="1" x14ac:dyDescent="0.6">
      <c r="C34">
        <v>2016</v>
      </c>
      <c r="D34">
        <v>69.45</v>
      </c>
      <c r="E34">
        <v>426</v>
      </c>
      <c r="F34" s="32">
        <f t="shared" si="6"/>
        <v>3731760</v>
      </c>
      <c r="G34" s="51">
        <f t="shared" si="5"/>
        <v>3.8000000000000003</v>
      </c>
      <c r="H34" s="31">
        <f t="shared" si="8"/>
        <v>14180.688000000002</v>
      </c>
      <c r="I34">
        <v>220.4</v>
      </c>
      <c r="J34" s="31">
        <f t="shared" si="7"/>
        <v>15306.78</v>
      </c>
      <c r="K34" s="96" t="s">
        <v>449</v>
      </c>
      <c r="L34" s="911"/>
      <c r="M34" s="911"/>
    </row>
    <row r="35" spans="3:13" ht="14.25" customHeight="1" x14ac:dyDescent="0.6">
      <c r="C35">
        <v>2015</v>
      </c>
      <c r="F35" s="32">
        <f t="shared" si="6"/>
        <v>0</v>
      </c>
      <c r="G35" s="51">
        <f t="shared" si="5"/>
        <v>4.5</v>
      </c>
      <c r="H35" s="31">
        <f t="shared" si="8"/>
        <v>0</v>
      </c>
      <c r="I35">
        <v>261</v>
      </c>
      <c r="J35" s="31">
        <f t="shared" si="7"/>
        <v>0</v>
      </c>
      <c r="K35" s="96" t="s">
        <v>450</v>
      </c>
      <c r="L35" s="911"/>
      <c r="M35" s="39"/>
    </row>
    <row r="36" spans="3:13" ht="14.25" customHeight="1" x14ac:dyDescent="0.6">
      <c r="L36" s="39"/>
    </row>
    <row r="37" spans="3:13" x14ac:dyDescent="0.6">
      <c r="G37" s="811"/>
    </row>
    <row r="38" spans="3:13" x14ac:dyDescent="0.6">
      <c r="G38" s="811"/>
    </row>
    <row r="39" spans="3:13" x14ac:dyDescent="0.6">
      <c r="G39" s="811"/>
      <c r="H39">
        <f>216/58</f>
        <v>3.7241379310344827</v>
      </c>
    </row>
    <row r="41" spans="3:13" x14ac:dyDescent="0.6">
      <c r="D41">
        <f>SLOPE(E29:E34,D29:D34)</f>
        <v>4.7295738141755912</v>
      </c>
      <c r="E41">
        <f>INTERCEPT(E29:E34,D29:D34)</f>
        <v>100.32947120040757</v>
      </c>
    </row>
    <row r="42" spans="3:13" x14ac:dyDescent="0.6">
      <c r="F42">
        <f>F27+G15/1000</f>
        <v>5229487.5663091438</v>
      </c>
    </row>
    <row r="43" spans="3:13" x14ac:dyDescent="0.6">
      <c r="F43">
        <f>F28+F16/1000</f>
        <v>4976959.7796996329</v>
      </c>
    </row>
    <row r="46" spans="3:13" x14ac:dyDescent="0.6">
      <c r="M46" s="811"/>
    </row>
    <row r="47" spans="3:13" x14ac:dyDescent="0.6">
      <c r="G47" s="811"/>
      <c r="M47" s="25"/>
    </row>
    <row r="49" spans="5:16" x14ac:dyDescent="0.6">
      <c r="E49">
        <v>5192571.2500444697</v>
      </c>
      <c r="F49">
        <v>5229487.5663091438</v>
      </c>
    </row>
    <row r="60" spans="5:16" x14ac:dyDescent="0.6">
      <c r="P60" s="25" t="s">
        <v>738</v>
      </c>
    </row>
    <row r="85" spans="13:13" x14ac:dyDescent="0.6">
      <c r="M85" s="25"/>
    </row>
  </sheetData>
  <mergeCells count="1">
    <mergeCell ref="D7:F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0516-AFF3-4B6B-96EC-2D11FDE3B9FC}">
  <sheetPr>
    <tabColor theme="4" tint="0.79998168889431442"/>
  </sheetPr>
  <dimension ref="A1:BV228"/>
  <sheetViews>
    <sheetView showGridLines="0" workbookViewId="0">
      <selection activeCell="Q28" sqref="Q28"/>
    </sheetView>
    <sheetView showGridLines="0" workbookViewId="1"/>
  </sheetViews>
  <sheetFormatPr defaultColWidth="9.1328125" defaultRowHeight="13" x14ac:dyDescent="0.6"/>
  <cols>
    <col min="10" max="10" width="10" bestFit="1" customWidth="1"/>
    <col min="16" max="16" width="10.26953125" bestFit="1" customWidth="1"/>
    <col min="21" max="21" width="9.54296875" bestFit="1" customWidth="1"/>
    <col min="22" max="22" width="11.54296875" bestFit="1" customWidth="1"/>
    <col min="23" max="23" width="20.54296875" customWidth="1"/>
    <col min="24" max="24" width="13.1328125" customWidth="1"/>
    <col min="25" max="25" width="13" customWidth="1"/>
    <col min="33" max="33" width="10.54296875" bestFit="1" customWidth="1"/>
    <col min="40" max="40" width="12.54296875" bestFit="1" customWidth="1"/>
    <col min="43" max="43" width="10.86328125" customWidth="1"/>
    <col min="59" max="59" width="13" bestFit="1" customWidth="1"/>
    <col min="69" max="69" width="12.86328125" customWidth="1"/>
  </cols>
  <sheetData>
    <row r="1" spans="1:74" ht="17.5" thickBot="1" x14ac:dyDescent="0.9">
      <c r="A1" s="1089" t="s">
        <v>246</v>
      </c>
      <c r="B1" s="1089"/>
      <c r="C1" s="1089"/>
      <c r="D1" s="1089"/>
      <c r="E1" s="1089"/>
      <c r="F1" s="1089"/>
      <c r="G1" s="1089"/>
      <c r="H1" s="1089"/>
      <c r="I1" s="1089"/>
      <c r="J1" s="1089"/>
      <c r="K1" s="1089"/>
      <c r="L1" s="1089"/>
      <c r="M1" s="1089"/>
    </row>
    <row r="2" spans="1:74" ht="25.25" x14ac:dyDescent="1.05">
      <c r="A2" s="1090"/>
      <c r="B2" s="1091"/>
      <c r="C2" s="1096" t="s">
        <v>247</v>
      </c>
      <c r="D2" s="1097"/>
      <c r="E2" s="1097"/>
      <c r="F2" s="1097"/>
      <c r="G2" s="1097"/>
      <c r="H2" s="1097"/>
      <c r="I2" s="1097"/>
      <c r="J2" s="1097"/>
      <c r="K2" s="1097"/>
      <c r="L2" s="1097"/>
      <c r="M2" s="1098"/>
    </row>
    <row r="3" spans="1:74" ht="127" thickBot="1" x14ac:dyDescent="1.2">
      <c r="A3" s="1092"/>
      <c r="B3" s="1093"/>
      <c r="C3" s="853" t="s">
        <v>248</v>
      </c>
      <c r="D3" s="854" t="s">
        <v>249</v>
      </c>
      <c r="E3" s="855" t="s">
        <v>250</v>
      </c>
      <c r="F3" s="97" t="s">
        <v>251</v>
      </c>
      <c r="G3" s="1099" t="s">
        <v>252</v>
      </c>
      <c r="H3" s="1102" t="s">
        <v>253</v>
      </c>
      <c r="I3" s="1103"/>
      <c r="J3" s="1103"/>
      <c r="K3" s="1103"/>
      <c r="L3" s="1103"/>
      <c r="M3" s="1104"/>
      <c r="BI3" s="31">
        <f>BI14+BI20+BI16+BI22</f>
        <v>65.562715510385544</v>
      </c>
      <c r="BJ3" s="31">
        <f>BI15+BI21</f>
        <v>441.94633186716288</v>
      </c>
      <c r="BK3" s="31">
        <f>BI17+BI19+BI23+BI25</f>
        <v>20.596612807745654</v>
      </c>
      <c r="BL3" s="31">
        <f>BI24+BI18</f>
        <v>1001.9336619845312</v>
      </c>
    </row>
    <row r="4" spans="1:74" ht="35.25" x14ac:dyDescent="1.05">
      <c r="A4" s="1094"/>
      <c r="B4" s="1095"/>
      <c r="C4" s="98"/>
      <c r="D4" s="99"/>
      <c r="E4" s="100"/>
      <c r="F4" s="101" t="s">
        <v>254</v>
      </c>
      <c r="G4" s="1100"/>
      <c r="H4" s="102"/>
      <c r="I4" s="103"/>
      <c r="J4" s="103"/>
      <c r="K4" s="103"/>
      <c r="L4" s="103"/>
      <c r="M4" s="104"/>
      <c r="W4" s="105">
        <v>2019</v>
      </c>
      <c r="X4" s="106" t="s">
        <v>255</v>
      </c>
      <c r="Y4" s="106" t="s">
        <v>256</v>
      </c>
      <c r="Z4" s="106" t="s">
        <v>257</v>
      </c>
      <c r="AA4" s="106" t="s">
        <v>258</v>
      </c>
      <c r="AB4" s="107" t="s">
        <v>259</v>
      </c>
      <c r="AN4" t="s">
        <v>260</v>
      </c>
      <c r="BI4" s="31">
        <f>BI8+BI10+BI11+BI13</f>
        <v>1341.0126697566911</v>
      </c>
      <c r="BJ4" s="31">
        <f>BI9+BI12</f>
        <v>973.31351405775001</v>
      </c>
      <c r="BM4">
        <v>28</v>
      </c>
      <c r="BN4">
        <v>265</v>
      </c>
    </row>
    <row r="5" spans="1:74" ht="13.75" thickBot="1" x14ac:dyDescent="0.75">
      <c r="A5" s="856" t="s">
        <v>261</v>
      </c>
      <c r="B5" s="857"/>
      <c r="C5" s="108">
        <v>1.01</v>
      </c>
      <c r="D5" s="109">
        <v>1.66</v>
      </c>
      <c r="E5" s="110">
        <v>0.6</v>
      </c>
      <c r="F5" s="111">
        <f>SUM(C5:E5)</f>
        <v>3.27</v>
      </c>
      <c r="G5" s="1101"/>
      <c r="H5" s="112"/>
      <c r="I5" s="1105" t="s">
        <v>262</v>
      </c>
      <c r="J5" s="1106"/>
      <c r="K5" s="1106"/>
      <c r="L5" s="1107" t="s">
        <v>263</v>
      </c>
      <c r="M5" s="1108"/>
      <c r="W5" s="1109" t="s">
        <v>264</v>
      </c>
      <c r="X5" s="1110"/>
      <c r="Y5" s="1110"/>
      <c r="Z5" s="1110"/>
      <c r="AA5" s="1110"/>
      <c r="AB5" s="1111"/>
      <c r="BG5" t="s">
        <v>265</v>
      </c>
    </row>
    <row r="6" spans="1:74" ht="26.75" thickBot="1" x14ac:dyDescent="0.75">
      <c r="A6" s="1112" t="s">
        <v>266</v>
      </c>
      <c r="B6" s="1113"/>
      <c r="C6" s="858" t="s">
        <v>267</v>
      </c>
      <c r="D6" s="859" t="s">
        <v>268</v>
      </c>
      <c r="E6" s="860" t="s">
        <v>269</v>
      </c>
      <c r="F6" s="113"/>
      <c r="G6" s="114" t="s">
        <v>270</v>
      </c>
      <c r="H6" s="115"/>
      <c r="I6" s="1114" t="s">
        <v>271</v>
      </c>
      <c r="J6" s="1115"/>
      <c r="K6" s="1115"/>
      <c r="L6" s="1116" t="s">
        <v>272</v>
      </c>
      <c r="M6" s="1117"/>
      <c r="Q6" t="s">
        <v>273</v>
      </c>
      <c r="S6" t="s">
        <v>274</v>
      </c>
      <c r="W6" s="116" t="s">
        <v>223</v>
      </c>
      <c r="X6" s="117">
        <v>163424</v>
      </c>
      <c r="Y6" s="117">
        <v>84654</v>
      </c>
      <c r="Z6" s="118">
        <v>0.52</v>
      </c>
      <c r="AA6" s="119">
        <v>30.85</v>
      </c>
      <c r="AB6" s="120">
        <v>11261</v>
      </c>
      <c r="AD6" s="121">
        <f>X6/X20</f>
        <v>0.60566663578245161</v>
      </c>
      <c r="AE6" s="121">
        <f>Y6/Y20</f>
        <v>0.67010211351222992</v>
      </c>
      <c r="AG6" s="31">
        <f>AG20*AD6</f>
        <v>135668.72074863338</v>
      </c>
      <c r="AJ6" s="122">
        <f>AB6/AC12</f>
        <v>0.16490210722078227</v>
      </c>
      <c r="AN6" s="31">
        <f>AA6*X6*365/1000000</f>
        <v>1840.1950960000001</v>
      </c>
      <c r="AO6" s="123">
        <f>AN6/$AO$12</f>
        <v>0.96190289926576888</v>
      </c>
      <c r="AQ6" s="121">
        <f>AN6/$AO$26</f>
        <v>0.43651664408983454</v>
      </c>
      <c r="AZ6" t="s">
        <v>275</v>
      </c>
      <c r="BA6" t="s">
        <v>276</v>
      </c>
      <c r="BB6" t="s">
        <v>277</v>
      </c>
      <c r="BC6" t="s">
        <v>278</v>
      </c>
      <c r="BD6" t="s">
        <v>279</v>
      </c>
      <c r="BE6" t="s">
        <v>280</v>
      </c>
      <c r="BF6" t="s">
        <v>281</v>
      </c>
      <c r="BG6" t="s">
        <v>282</v>
      </c>
      <c r="BH6" t="s">
        <v>283</v>
      </c>
      <c r="BI6" t="s">
        <v>199</v>
      </c>
      <c r="BJ6" t="s">
        <v>281</v>
      </c>
      <c r="BK6" t="s">
        <v>282</v>
      </c>
      <c r="BL6" t="s">
        <v>283</v>
      </c>
      <c r="BP6" t="s">
        <v>284</v>
      </c>
      <c r="BQ6" t="s">
        <v>285</v>
      </c>
      <c r="BR6" t="s">
        <v>286</v>
      </c>
    </row>
    <row r="7" spans="1:74" ht="15" thickBot="1" x14ac:dyDescent="0.8">
      <c r="A7" s="124"/>
      <c r="B7" s="125" t="s">
        <v>287</v>
      </c>
      <c r="C7" s="1118" t="s">
        <v>288</v>
      </c>
      <c r="D7" s="1119"/>
      <c r="E7" s="1119"/>
      <c r="F7" s="861" t="s">
        <v>289</v>
      </c>
      <c r="G7" s="126" t="s">
        <v>290</v>
      </c>
      <c r="H7" s="127"/>
      <c r="I7" s="128" t="s">
        <v>267</v>
      </c>
      <c r="J7" s="129" t="s">
        <v>268</v>
      </c>
      <c r="K7" s="130" t="s">
        <v>269</v>
      </c>
      <c r="L7" s="131" t="s">
        <v>291</v>
      </c>
      <c r="M7" s="132" t="s">
        <v>292</v>
      </c>
      <c r="Q7" t="s">
        <v>293</v>
      </c>
      <c r="S7">
        <v>223999</v>
      </c>
      <c r="W7" s="133" t="s">
        <v>294</v>
      </c>
      <c r="X7" s="134">
        <v>95</v>
      </c>
      <c r="Y7" s="134">
        <v>65</v>
      </c>
      <c r="Z7" s="135">
        <v>0.68</v>
      </c>
      <c r="AA7" s="134">
        <v>24.99</v>
      </c>
      <c r="AB7" s="136">
        <v>9123</v>
      </c>
      <c r="AD7" s="121">
        <f t="shared" ref="AD7:AE11" si="0">X7/X21</f>
        <v>6.8542568542568544E-2</v>
      </c>
      <c r="AE7" s="121">
        <f t="shared" si="0"/>
        <v>8.5638998682476944E-2</v>
      </c>
      <c r="AG7" s="31">
        <f t="shared" ref="AG7:AG11" si="1">AG21*AD7</f>
        <v>63.538961038961041</v>
      </c>
      <c r="AN7" s="31">
        <f t="shared" ref="AN7:AN25" si="2">AA7*X7*365/1000000</f>
        <v>0.86652824999999989</v>
      </c>
      <c r="AO7" s="123">
        <f t="shared" ref="AO7:AO11" si="3">AN7/$AO$12</f>
        <v>4.5294981916998485E-4</v>
      </c>
      <c r="AQ7" s="121">
        <f t="shared" ref="AQ7:AQ32" si="4">AN7/$AO$26</f>
        <v>2.0555103343185797E-4</v>
      </c>
      <c r="AX7" s="93">
        <f>W68</f>
        <v>1177.9985244311522</v>
      </c>
    </row>
    <row r="8" spans="1:74" ht="13.75" thickBot="1" x14ac:dyDescent="0.75">
      <c r="A8" s="1080">
        <v>2005</v>
      </c>
      <c r="B8" s="137" t="s">
        <v>295</v>
      </c>
      <c r="C8" s="138">
        <v>36964</v>
      </c>
      <c r="D8" s="139">
        <v>35212</v>
      </c>
      <c r="E8" s="140">
        <v>32382</v>
      </c>
      <c r="F8" s="141">
        <v>104558</v>
      </c>
      <c r="G8" s="142">
        <v>104558</v>
      </c>
      <c r="H8" s="143"/>
      <c r="I8" s="144"/>
      <c r="J8" s="144"/>
      <c r="K8" s="144"/>
      <c r="L8" s="145"/>
      <c r="M8" s="146"/>
      <c r="Q8" t="s">
        <v>296</v>
      </c>
      <c r="S8">
        <v>22995</v>
      </c>
      <c r="W8" s="116" t="s">
        <v>297</v>
      </c>
      <c r="X8" s="119">
        <v>6</v>
      </c>
      <c r="Y8" s="119">
        <v>4</v>
      </c>
      <c r="Z8" s="118">
        <v>0.67</v>
      </c>
      <c r="AA8" s="119">
        <v>80.099999999999994</v>
      </c>
      <c r="AB8" s="120">
        <v>29237</v>
      </c>
      <c r="AD8" s="121">
        <f t="shared" si="0"/>
        <v>3.3482142857142855E-3</v>
      </c>
      <c r="AE8" s="121">
        <f t="shared" si="0"/>
        <v>4.048582995951417E-3</v>
      </c>
      <c r="AG8" s="31">
        <f t="shared" si="1"/>
        <v>3.8772321428571428</v>
      </c>
      <c r="AN8" s="31">
        <f t="shared" si="2"/>
        <v>0.17541899999999999</v>
      </c>
      <c r="AO8" s="123">
        <f t="shared" si="3"/>
        <v>9.1694649688546878E-5</v>
      </c>
      <c r="AQ8" s="121">
        <f t="shared" si="4"/>
        <v>4.1611518993850573E-5</v>
      </c>
      <c r="AU8" t="s">
        <v>298</v>
      </c>
      <c r="AV8" t="s">
        <v>264</v>
      </c>
      <c r="AW8" s="147">
        <f>AQ6</f>
        <v>0.43651664408983454</v>
      </c>
      <c r="AX8" s="31">
        <f t="shared" ref="AX8:AX25" si="5">AW8*$AX$7</f>
        <v>514.21596262746357</v>
      </c>
      <c r="AZ8">
        <v>7.5</v>
      </c>
      <c r="BA8">
        <f>AZ8/100</f>
        <v>7.4999999999999997E-2</v>
      </c>
      <c r="BB8">
        <v>0.75</v>
      </c>
      <c r="BC8">
        <f>BB8*BA8</f>
        <v>5.6249999999999994E-2</v>
      </c>
      <c r="BD8">
        <v>44.3</v>
      </c>
      <c r="BE8">
        <f>BD8*BC8</f>
        <v>2.4918749999999994</v>
      </c>
      <c r="BF8">
        <v>72.416541095972974</v>
      </c>
      <c r="BG8">
        <f>7.87852632644844/1000</f>
        <v>7.8785263264484397E-3</v>
      </c>
      <c r="BH8">
        <f>0.93521034397128/1000</f>
        <v>9.3521034397127997E-4</v>
      </c>
      <c r="BI8" s="31">
        <f>BE8*AX8</f>
        <v>1281.3619018723105</v>
      </c>
      <c r="BJ8" s="31">
        <f>$BI8*BF8</f>
        <v>92791.796825750265</v>
      </c>
      <c r="BK8" s="31">
        <f>$BI8*BG8</f>
        <v>10.09524347760904</v>
      </c>
      <c r="BL8" s="31">
        <f>$BI8*BH8</f>
        <v>1.1983429050016969</v>
      </c>
      <c r="BN8" s="31">
        <f>BJ8+BK8*$BM$4+BL8*$BN$4</f>
        <v>93392.024512948774</v>
      </c>
      <c r="BO8" s="31">
        <f>BN8*$BO$27/$BN$27</f>
        <v>93409.215713699261</v>
      </c>
      <c r="BP8">
        <v>2.34</v>
      </c>
      <c r="BQ8">
        <f>BP8*BA8*AX8*1000000</f>
        <v>90244901.44111985</v>
      </c>
      <c r="BR8">
        <f>BQ8/1000</f>
        <v>90244.901441119844</v>
      </c>
    </row>
    <row r="9" spans="1:74" ht="13.75" thickBot="1" x14ac:dyDescent="0.75">
      <c r="A9" s="1081"/>
      <c r="B9" s="148" t="s">
        <v>299</v>
      </c>
      <c r="C9" s="149">
        <v>39806</v>
      </c>
      <c r="D9" s="150">
        <v>37070.580282304945</v>
      </c>
      <c r="E9" s="151">
        <v>35244</v>
      </c>
      <c r="F9" s="152">
        <v>112120.58028230495</v>
      </c>
      <c r="G9" s="153">
        <v>216678.58028230496</v>
      </c>
      <c r="H9" s="143"/>
      <c r="I9" s="144"/>
      <c r="J9" s="144"/>
      <c r="K9" s="144"/>
      <c r="L9" s="154"/>
      <c r="M9" s="155"/>
      <c r="Q9" t="s">
        <v>300</v>
      </c>
      <c r="S9">
        <v>8836</v>
      </c>
      <c r="W9" s="133" t="s">
        <v>301</v>
      </c>
      <c r="X9" s="156">
        <v>6269</v>
      </c>
      <c r="Y9" s="156">
        <v>3214</v>
      </c>
      <c r="Z9" s="135">
        <v>0.51</v>
      </c>
      <c r="AA9" s="134">
        <v>29.17</v>
      </c>
      <c r="AB9" s="136">
        <v>10647</v>
      </c>
      <c r="AD9" s="121">
        <f t="shared" si="0"/>
        <v>0.21662807975396522</v>
      </c>
      <c r="AE9" s="121">
        <f t="shared" si="0"/>
        <v>0.21798697775366252</v>
      </c>
      <c r="AG9" s="31">
        <f t="shared" si="1"/>
        <v>4981.3626939424303</v>
      </c>
      <c r="AN9" s="31">
        <f t="shared" si="2"/>
        <v>66.746356450000007</v>
      </c>
      <c r="AO9" s="123">
        <f t="shared" si="3"/>
        <v>3.4889514663004766E-2</v>
      </c>
      <c r="AQ9" s="121">
        <f t="shared" si="4"/>
        <v>1.5833047042734801E-2</v>
      </c>
      <c r="AV9" t="s">
        <v>302</v>
      </c>
      <c r="AW9" s="147">
        <f>AQ13</f>
        <v>0.33206503080050687</v>
      </c>
      <c r="AX9" s="31">
        <f t="shared" si="5"/>
        <v>391.17211629818217</v>
      </c>
      <c r="AZ9">
        <v>6.5</v>
      </c>
      <c r="BA9">
        <f t="shared" ref="BA9:BA25" si="6">AZ9/100</f>
        <v>6.5000000000000002E-2</v>
      </c>
      <c r="BB9">
        <v>0.86499999999999999</v>
      </c>
      <c r="BC9">
        <f t="shared" ref="BC9:BC25" si="7">BB9*BA9</f>
        <v>5.6225000000000004E-2</v>
      </c>
      <c r="BD9">
        <v>43</v>
      </c>
      <c r="BE9">
        <f t="shared" ref="BE9:BE25" si="8">BD9*BC9</f>
        <v>2.417675</v>
      </c>
      <c r="BF9">
        <v>73.367636682232202</v>
      </c>
      <c r="BG9">
        <f>0.06636778941357/1000</f>
        <v>6.6367789413569991E-5</v>
      </c>
      <c r="BH9">
        <f>2.52657658902305/1000</f>
        <v>2.5265765890230499E-3</v>
      </c>
      <c r="BI9" s="31">
        <f t="shared" ref="BI9:BI25" si="9">BE9*AX9</f>
        <v>945.72704627120754</v>
      </c>
      <c r="BJ9" s="31">
        <f t="shared" ref="BJ9:BL25" si="10">$BI9*BF9</f>
        <v>69385.758331386562</v>
      </c>
      <c r="BK9" s="31">
        <f t="shared" si="10"/>
        <v>6.2765813449645061E-2</v>
      </c>
      <c r="BL9" s="31">
        <f t="shared" si="10"/>
        <v>2.3894518147147519</v>
      </c>
      <c r="BN9" s="31">
        <f t="shared" ref="BN9:BN25" si="11">BJ9+BK9*$BM$4+BL9*$BN$4</f>
        <v>70020.720505062563</v>
      </c>
      <c r="BO9" s="31">
        <f t="shared" ref="BO9:BO24" si="12">BN9*$BO$27/$BN$27</f>
        <v>70033.609617052309</v>
      </c>
      <c r="BP9">
        <v>2.72</v>
      </c>
      <c r="BQ9">
        <f t="shared" ref="BQ9:BQ25" si="13">BP9*BA9*AX9*1000000</f>
        <v>69159230.161518604</v>
      </c>
      <c r="BR9">
        <f t="shared" ref="BR9:BR25" si="14">BQ9/1000</f>
        <v>69159.230161518601</v>
      </c>
    </row>
    <row r="10" spans="1:74" ht="13.75" thickBot="1" x14ac:dyDescent="0.75">
      <c r="A10" s="1081"/>
      <c r="B10" s="148" t="s">
        <v>303</v>
      </c>
      <c r="C10" s="149">
        <v>39314</v>
      </c>
      <c r="D10" s="150">
        <v>37980.72629630773</v>
      </c>
      <c r="E10" s="151">
        <v>36152</v>
      </c>
      <c r="F10" s="152">
        <v>113446.72629630772</v>
      </c>
      <c r="G10" s="153">
        <v>330125.30657861265</v>
      </c>
      <c r="H10" s="157"/>
      <c r="I10" s="144"/>
      <c r="J10" s="144"/>
      <c r="K10" s="144"/>
      <c r="L10" s="144"/>
      <c r="M10" s="155"/>
      <c r="Q10" t="s">
        <v>304</v>
      </c>
      <c r="S10">
        <v>6889</v>
      </c>
      <c r="W10" s="116" t="s">
        <v>305</v>
      </c>
      <c r="X10" s="119">
        <v>635</v>
      </c>
      <c r="Y10" s="119">
        <v>158</v>
      </c>
      <c r="Z10" s="118">
        <v>0.25</v>
      </c>
      <c r="AA10" s="119">
        <v>21.98</v>
      </c>
      <c r="AB10" s="158">
        <v>8021</v>
      </c>
      <c r="AD10" s="121">
        <f t="shared" si="0"/>
        <v>0.10786478681841345</v>
      </c>
      <c r="AE10" s="121">
        <f t="shared" si="0"/>
        <v>5.398018448923813E-2</v>
      </c>
      <c r="AG10" s="31">
        <f t="shared" si="1"/>
        <v>410.10191948360796</v>
      </c>
      <c r="AN10" s="31">
        <f t="shared" si="2"/>
        <v>5.0944145000000001</v>
      </c>
      <c r="AO10" s="123">
        <f t="shared" si="3"/>
        <v>2.6629416023677809E-3</v>
      </c>
      <c r="AQ10" s="121">
        <f t="shared" si="4"/>
        <v>1.2084570413085115E-3</v>
      </c>
      <c r="AV10" t="s">
        <v>17</v>
      </c>
      <c r="AW10" s="147">
        <f>AQ27</f>
        <v>5.0691531669380757E-2</v>
      </c>
      <c r="AX10" s="31">
        <f t="shared" si="5"/>
        <v>59.714549507685554</v>
      </c>
      <c r="AZ10">
        <v>3</v>
      </c>
      <c r="BA10">
        <f t="shared" si="6"/>
        <v>0.03</v>
      </c>
      <c r="BB10">
        <v>0.75</v>
      </c>
      <c r="BC10">
        <f t="shared" si="7"/>
        <v>2.2499999999999999E-2</v>
      </c>
      <c r="BD10">
        <v>44.3</v>
      </c>
      <c r="BE10">
        <f t="shared" si="8"/>
        <v>0.99674999999999991</v>
      </c>
      <c r="BF10">
        <v>72.416541095972974</v>
      </c>
      <c r="BG10">
        <f>7.87852632644844/1000</f>
        <v>7.8785263264484397E-3</v>
      </c>
      <c r="BH10">
        <f>0.93521034397128/1000</f>
        <v>9.3521034397127997E-4</v>
      </c>
      <c r="BI10" s="31">
        <f t="shared" si="9"/>
        <v>59.520477221785569</v>
      </c>
      <c r="BJ10" s="31">
        <f t="shared" si="10"/>
        <v>4310.2670847833579</v>
      </c>
      <c r="BK10" s="31">
        <f t="shared" si="10"/>
        <v>0.4689336467546123</v>
      </c>
      <c r="BL10" s="31">
        <f t="shared" si="10"/>
        <v>5.5664165975920818E-2</v>
      </c>
      <c r="BN10" s="31">
        <f t="shared" si="11"/>
        <v>4338.148230876106</v>
      </c>
      <c r="BO10" s="31">
        <f t="shared" si="12"/>
        <v>4338.9467784770522</v>
      </c>
      <c r="BP10">
        <v>2.34</v>
      </c>
      <c r="BQ10">
        <f t="shared" si="13"/>
        <v>4191961.3754395256</v>
      </c>
      <c r="BR10">
        <f t="shared" si="14"/>
        <v>4191.9613754395259</v>
      </c>
      <c r="BU10" t="s">
        <v>223</v>
      </c>
      <c r="BV10">
        <f>SUM(BR8:BR14)</f>
        <v>169114.13991120967</v>
      </c>
    </row>
    <row r="11" spans="1:74" ht="13.75" thickBot="1" x14ac:dyDescent="0.75">
      <c r="A11" s="1081"/>
      <c r="B11" s="148" t="s">
        <v>306</v>
      </c>
      <c r="C11" s="149">
        <v>40771.075849776658</v>
      </c>
      <c r="D11" s="150">
        <v>40551</v>
      </c>
      <c r="E11" s="151">
        <v>37617</v>
      </c>
      <c r="F11" s="152">
        <v>118939.07584977665</v>
      </c>
      <c r="G11" s="153">
        <v>449064.38242838928</v>
      </c>
      <c r="H11" s="157"/>
      <c r="I11" s="144"/>
      <c r="J11" s="144"/>
      <c r="K11" s="144"/>
      <c r="L11" s="144"/>
      <c r="M11" s="155"/>
      <c r="Q11" t="s">
        <v>307</v>
      </c>
      <c r="S11">
        <v>6414</v>
      </c>
      <c r="W11" s="133" t="s">
        <v>308</v>
      </c>
      <c r="X11" s="134">
        <v>13</v>
      </c>
      <c r="Y11" s="134">
        <v>0</v>
      </c>
      <c r="Z11" s="135">
        <v>0</v>
      </c>
      <c r="AA11" s="134">
        <v>0</v>
      </c>
      <c r="AB11" s="159">
        <v>0</v>
      </c>
      <c r="AD11" s="121">
        <f t="shared" si="0"/>
        <v>1.8675477661255567E-3</v>
      </c>
      <c r="AE11" s="121">
        <f t="shared" si="0"/>
        <v>0</v>
      </c>
      <c r="AG11" s="31">
        <f t="shared" si="1"/>
        <v>7.754058324953311</v>
      </c>
      <c r="AN11" s="31">
        <f t="shared" si="2"/>
        <v>0</v>
      </c>
      <c r="AO11" s="123">
        <f t="shared" si="3"/>
        <v>0</v>
      </c>
      <c r="AQ11" s="121">
        <f t="shared" si="4"/>
        <v>0</v>
      </c>
      <c r="AU11" t="s">
        <v>309</v>
      </c>
      <c r="AV11" t="s">
        <v>264</v>
      </c>
      <c r="AW11" s="160">
        <f>AQ8</f>
        <v>4.1611518993850573E-5</v>
      </c>
      <c r="AX11" s="31">
        <f t="shared" si="5"/>
        <v>4.9018307974094837E-2</v>
      </c>
      <c r="AZ11">
        <v>8</v>
      </c>
      <c r="BA11">
        <f t="shared" si="6"/>
        <v>0.08</v>
      </c>
      <c r="BB11">
        <v>0.75</v>
      </c>
      <c r="BC11">
        <f t="shared" si="7"/>
        <v>0.06</v>
      </c>
      <c r="BD11">
        <v>44.3</v>
      </c>
      <c r="BE11">
        <f t="shared" si="8"/>
        <v>2.6579999999999999</v>
      </c>
      <c r="BF11">
        <v>72.416541095972974</v>
      </c>
      <c r="BG11">
        <f>7.87852632644844/1000</f>
        <v>7.8785263264484397E-3</v>
      </c>
      <c r="BH11">
        <f>0.93521034397128/1000</f>
        <v>9.3521034397127997E-4</v>
      </c>
      <c r="BI11" s="31">
        <f t="shared" si="9"/>
        <v>0.13029066259514407</v>
      </c>
      <c r="BJ11" s="31">
        <f t="shared" si="10"/>
        <v>9.4351991222427998</v>
      </c>
      <c r="BK11" s="31">
        <f t="shared" si="10"/>
        <v>1.0264984153462535E-3</v>
      </c>
      <c r="BL11" s="31">
        <f t="shared" si="10"/>
        <v>1.2184917538185068E-4</v>
      </c>
      <c r="BN11" s="31">
        <f t="shared" si="11"/>
        <v>9.4962311093486846</v>
      </c>
      <c r="BO11" s="31">
        <f t="shared" si="12"/>
        <v>9.4979791345813016</v>
      </c>
      <c r="BP11">
        <v>2.34</v>
      </c>
      <c r="BQ11">
        <f t="shared" si="13"/>
        <v>9176.2272527505538</v>
      </c>
      <c r="BR11">
        <f t="shared" si="14"/>
        <v>9.1762272527505537</v>
      </c>
      <c r="BU11" t="s">
        <v>225</v>
      </c>
      <c r="BV11">
        <f>SUM(BR11:BR13)+SUM(BR17:BR19)</f>
        <v>25909.275181926922</v>
      </c>
    </row>
    <row r="12" spans="1:74" ht="13.75" thickBot="1" x14ac:dyDescent="0.75">
      <c r="A12" s="1081"/>
      <c r="B12" s="148" t="s">
        <v>310</v>
      </c>
      <c r="C12" s="149">
        <v>40229</v>
      </c>
      <c r="D12" s="150">
        <v>40965</v>
      </c>
      <c r="E12" s="151">
        <v>39578</v>
      </c>
      <c r="F12" s="152">
        <v>120772</v>
      </c>
      <c r="G12" s="153">
        <v>569836.38242838928</v>
      </c>
      <c r="H12" s="157"/>
      <c r="I12" s="144"/>
      <c r="J12" s="144"/>
      <c r="K12" s="144"/>
      <c r="L12" s="144"/>
      <c r="M12" s="155"/>
      <c r="Q12" t="s">
        <v>311</v>
      </c>
      <c r="S12">
        <v>5209</v>
      </c>
      <c r="W12" s="1083" t="s">
        <v>312</v>
      </c>
      <c r="X12" s="1084"/>
      <c r="Y12" s="1084"/>
      <c r="Z12" s="1084"/>
      <c r="AA12" s="1084"/>
      <c r="AB12" s="1085"/>
      <c r="AC12" s="32">
        <f>SUM(AB6:AB11)</f>
        <v>68289</v>
      </c>
      <c r="AN12" s="31"/>
      <c r="AO12" s="31">
        <f>SUM(AN6:AN11)</f>
        <v>1913.0778142000001</v>
      </c>
      <c r="AQ12" s="121">
        <f t="shared" si="4"/>
        <v>0</v>
      </c>
      <c r="AV12" t="s">
        <v>302</v>
      </c>
      <c r="AW12" s="147">
        <f>AQ14</f>
        <v>8.3947066296653026E-3</v>
      </c>
      <c r="AX12" s="31">
        <f t="shared" si="5"/>
        <v>9.8889520227781365</v>
      </c>
      <c r="AZ12">
        <v>7.5</v>
      </c>
      <c r="BA12">
        <f t="shared" si="6"/>
        <v>7.4999999999999997E-2</v>
      </c>
      <c r="BB12">
        <v>0.86499999999999999</v>
      </c>
      <c r="BC12">
        <f t="shared" si="7"/>
        <v>6.4875000000000002E-2</v>
      </c>
      <c r="BD12">
        <v>43</v>
      </c>
      <c r="BE12">
        <f t="shared" si="8"/>
        <v>2.789625</v>
      </c>
      <c r="BF12">
        <v>73.367636682232202</v>
      </c>
      <c r="BG12">
        <f>0.06636778941357/1000</f>
        <v>6.6367789413569991E-5</v>
      </c>
      <c r="BH12">
        <f>2.52657658902305/1000</f>
        <v>2.5265765890230499E-3</v>
      </c>
      <c r="BI12" s="31">
        <f t="shared" si="9"/>
        <v>27.58646778654246</v>
      </c>
      <c r="BJ12" s="31">
        <f t="shared" si="10"/>
        <v>2023.9539459091495</v>
      </c>
      <c r="BK12" s="31">
        <f t="shared" si="10"/>
        <v>1.8308528847214823E-3</v>
      </c>
      <c r="BL12" s="31">
        <f t="shared" si="10"/>
        <v>6.9699323683316702E-2</v>
      </c>
      <c r="BN12" s="31">
        <f t="shared" si="11"/>
        <v>2042.4755305660008</v>
      </c>
      <c r="BO12" s="31">
        <f t="shared" si="12"/>
        <v>2042.8515006454268</v>
      </c>
      <c r="BP12">
        <v>2.72</v>
      </c>
      <c r="BQ12">
        <f t="shared" si="13"/>
        <v>2017346.21264674</v>
      </c>
      <c r="BR12">
        <f t="shared" si="14"/>
        <v>2017.34621264674</v>
      </c>
      <c r="BU12" t="s">
        <v>313</v>
      </c>
      <c r="BV12">
        <f>SUM(BR20:BR25)</f>
        <v>67262.354744252327</v>
      </c>
    </row>
    <row r="13" spans="1:74" ht="13.75" thickBot="1" x14ac:dyDescent="0.75">
      <c r="A13" s="1081"/>
      <c r="B13" s="148" t="s">
        <v>314</v>
      </c>
      <c r="C13" s="149">
        <v>39072</v>
      </c>
      <c r="D13" s="150">
        <v>41329</v>
      </c>
      <c r="E13" s="151">
        <v>40381</v>
      </c>
      <c r="F13" s="152">
        <v>120782</v>
      </c>
      <c r="G13" s="153">
        <v>690618.38242838928</v>
      </c>
      <c r="H13" s="157"/>
      <c r="I13" s="144"/>
      <c r="J13" s="144"/>
      <c r="K13" s="144"/>
      <c r="L13" s="144"/>
      <c r="M13" s="155"/>
      <c r="Q13" t="s">
        <v>315</v>
      </c>
      <c r="S13">
        <v>4760</v>
      </c>
      <c r="W13" s="133" t="s">
        <v>223</v>
      </c>
      <c r="X13" s="156">
        <v>87423</v>
      </c>
      <c r="Y13" s="156">
        <v>38834</v>
      </c>
      <c r="Z13" s="135">
        <v>0.44</v>
      </c>
      <c r="AA13" s="134">
        <v>43.87</v>
      </c>
      <c r="AB13" s="136">
        <v>16013</v>
      </c>
      <c r="AD13" s="121">
        <f t="shared" ref="AD13:AE18" si="15">X13/X20</f>
        <v>0.32399888816825723</v>
      </c>
      <c r="AE13" s="121">
        <f t="shared" si="15"/>
        <v>0.30740125069263041</v>
      </c>
      <c r="AG13" s="31">
        <f t="shared" ref="AG13:AG18" si="16">AG20*AD13</f>
        <v>72575.426950801455</v>
      </c>
      <c r="AN13" s="31">
        <f t="shared" si="2"/>
        <v>1399.8651586499998</v>
      </c>
      <c r="AO13" s="123">
        <f t="shared" ref="AO13:AO18" si="17">AN13/$AO$19</f>
        <v>0.67154903551396572</v>
      </c>
      <c r="AQ13" s="121">
        <f t="shared" si="4"/>
        <v>0.33206503080050687</v>
      </c>
      <c r="AV13" t="s">
        <v>17</v>
      </c>
      <c r="AW13" s="147">
        <f>AQ28</f>
        <v>0</v>
      </c>
      <c r="AX13" s="31">
        <f t="shared" si="5"/>
        <v>0</v>
      </c>
      <c r="AZ13">
        <v>3.5</v>
      </c>
      <c r="BA13">
        <f t="shared" si="6"/>
        <v>3.5000000000000003E-2</v>
      </c>
      <c r="BB13">
        <v>0.75</v>
      </c>
      <c r="BC13">
        <f t="shared" si="7"/>
        <v>2.6250000000000002E-2</v>
      </c>
      <c r="BD13">
        <v>44.3</v>
      </c>
      <c r="BE13">
        <f t="shared" si="8"/>
        <v>1.1628750000000001</v>
      </c>
      <c r="BF13">
        <v>72.416541095972974</v>
      </c>
      <c r="BG13">
        <f>7.87852632644844/1000</f>
        <v>7.8785263264484397E-3</v>
      </c>
      <c r="BH13">
        <f>0.93521034397128/1000</f>
        <v>9.3521034397127997E-4</v>
      </c>
      <c r="BI13" s="31">
        <f>BE13*AX13</f>
        <v>0</v>
      </c>
      <c r="BJ13" s="31">
        <f>$BI13*BF13</f>
        <v>0</v>
      </c>
      <c r="BK13" s="31">
        <f t="shared" si="10"/>
        <v>0</v>
      </c>
      <c r="BL13" s="31">
        <f t="shared" si="10"/>
        <v>0</v>
      </c>
      <c r="BN13" s="31">
        <f t="shared" si="11"/>
        <v>0</v>
      </c>
      <c r="BO13" s="31">
        <f t="shared" si="12"/>
        <v>0</v>
      </c>
      <c r="BP13">
        <v>2.34</v>
      </c>
      <c r="BQ13">
        <f t="shared" si="13"/>
        <v>0</v>
      </c>
      <c r="BR13">
        <f t="shared" si="14"/>
        <v>0</v>
      </c>
    </row>
    <row r="14" spans="1:74" ht="13.75" thickBot="1" x14ac:dyDescent="0.75">
      <c r="A14" s="1081"/>
      <c r="B14" s="148" t="s">
        <v>316</v>
      </c>
      <c r="C14" s="149">
        <v>34593</v>
      </c>
      <c r="D14" s="150">
        <v>38833</v>
      </c>
      <c r="E14" s="151">
        <v>38760.78330939178</v>
      </c>
      <c r="F14" s="152">
        <v>112186.78330939179</v>
      </c>
      <c r="G14" s="153">
        <v>802805.16573778109</v>
      </c>
      <c r="H14" s="157"/>
      <c r="I14" s="144"/>
      <c r="J14" s="144"/>
      <c r="K14" s="144"/>
      <c r="L14" s="144"/>
      <c r="M14" s="155"/>
      <c r="Q14" t="s">
        <v>317</v>
      </c>
      <c r="S14">
        <v>4438</v>
      </c>
      <c r="W14" s="116" t="s">
        <v>294</v>
      </c>
      <c r="X14" s="117">
        <v>1303</v>
      </c>
      <c r="Y14" s="119">
        <v>694</v>
      </c>
      <c r="Z14" s="118">
        <v>0.53</v>
      </c>
      <c r="AA14" s="119">
        <v>74.41</v>
      </c>
      <c r="AB14" s="120">
        <v>27158</v>
      </c>
      <c r="AD14" s="121">
        <f t="shared" si="15"/>
        <v>0.94011544011544013</v>
      </c>
      <c r="AE14" s="121">
        <f t="shared" si="15"/>
        <v>0.91436100131752307</v>
      </c>
      <c r="AG14" s="31">
        <f t="shared" si="16"/>
        <v>871.48701298701303</v>
      </c>
      <c r="AN14" s="31">
        <f t="shared" si="2"/>
        <v>35.389023949999995</v>
      </c>
      <c r="AO14" s="123">
        <f t="shared" si="17"/>
        <v>1.6976967213272198E-2</v>
      </c>
      <c r="AQ14" s="121">
        <f t="shared" si="4"/>
        <v>8.3947066296653026E-3</v>
      </c>
      <c r="AU14" t="s">
        <v>318</v>
      </c>
      <c r="AV14" t="s">
        <v>264</v>
      </c>
      <c r="AW14" s="147">
        <f>AQ9</f>
        <v>1.5833047042734801E-2</v>
      </c>
      <c r="AX14" s="31">
        <f t="shared" si="5"/>
        <v>18.651306053590613</v>
      </c>
      <c r="AZ14">
        <v>8</v>
      </c>
      <c r="BA14">
        <f t="shared" si="6"/>
        <v>0.08</v>
      </c>
      <c r="BB14">
        <v>0.75</v>
      </c>
      <c r="BC14">
        <f t="shared" si="7"/>
        <v>0.06</v>
      </c>
      <c r="BD14">
        <v>44.3</v>
      </c>
      <c r="BE14">
        <f t="shared" si="8"/>
        <v>2.6579999999999999</v>
      </c>
      <c r="BF14">
        <v>72.513754762763227</v>
      </c>
      <c r="BG14">
        <f>6.43681969225972/1000</f>
        <v>6.4368196922597199E-3</v>
      </c>
      <c r="BH14">
        <f>1.22219082236233/1000</f>
        <v>1.2221908223623299E-3</v>
      </c>
      <c r="BI14" s="31">
        <f t="shared" si="9"/>
        <v>49.57517149044385</v>
      </c>
      <c r="BJ14" s="31">
        <f t="shared" si="10"/>
        <v>3594.8818277799764</v>
      </c>
      <c r="BK14" s="31">
        <f t="shared" si="10"/>
        <v>0.31910644009684164</v>
      </c>
      <c r="BL14" s="31">
        <f t="shared" si="10"/>
        <v>6.0590319612659101E-2</v>
      </c>
      <c r="BN14" s="31">
        <f t="shared" si="11"/>
        <v>3619.8732428000426</v>
      </c>
      <c r="BO14" s="31">
        <f t="shared" si="12"/>
        <v>3620.5395734415806</v>
      </c>
      <c r="BP14">
        <v>2.34</v>
      </c>
      <c r="BQ14">
        <f t="shared" si="13"/>
        <v>3491524.4932321627</v>
      </c>
      <c r="BR14">
        <f t="shared" si="14"/>
        <v>3491.5244932321625</v>
      </c>
      <c r="BU14" s="31">
        <f>BR27-BR9-BR12-BR15-BR18-BR21-BR24</f>
        <v>100514.14523687241</v>
      </c>
    </row>
    <row r="15" spans="1:74" ht="13.75" thickBot="1" x14ac:dyDescent="0.75">
      <c r="A15" s="1081"/>
      <c r="B15" s="148" t="s">
        <v>319</v>
      </c>
      <c r="C15" s="149">
        <v>38566</v>
      </c>
      <c r="D15" s="150">
        <v>40513</v>
      </c>
      <c r="E15" s="151">
        <v>39439.63451437137</v>
      </c>
      <c r="F15" s="152">
        <v>118518.63451437137</v>
      </c>
      <c r="G15" s="153">
        <v>921323.80025215249</v>
      </c>
      <c r="H15" s="157"/>
      <c r="I15" s="144"/>
      <c r="J15" s="144"/>
      <c r="K15" s="144"/>
      <c r="L15" s="144"/>
      <c r="M15" s="155"/>
      <c r="Q15" t="s">
        <v>320</v>
      </c>
      <c r="S15">
        <v>4152</v>
      </c>
      <c r="W15" s="133" t="s">
        <v>297</v>
      </c>
      <c r="X15" s="156">
        <v>1765</v>
      </c>
      <c r="Y15" s="134">
        <v>983</v>
      </c>
      <c r="Z15" s="135">
        <v>0.56000000000000005</v>
      </c>
      <c r="AA15" s="134">
        <v>127.72</v>
      </c>
      <c r="AB15" s="136">
        <v>46616</v>
      </c>
      <c r="AD15" s="121">
        <f t="shared" si="15"/>
        <v>0.9849330357142857</v>
      </c>
      <c r="AE15" s="121">
        <f t="shared" si="15"/>
        <v>0.99493927125506076</v>
      </c>
      <c r="AG15" s="31">
        <f t="shared" si="16"/>
        <v>1140.5524553571429</v>
      </c>
      <c r="AN15" s="31">
        <f t="shared" si="2"/>
        <v>82.280417</v>
      </c>
      <c r="AO15" s="123">
        <f t="shared" si="17"/>
        <v>3.9471897944316284E-2</v>
      </c>
      <c r="AQ15" s="121">
        <f t="shared" si="4"/>
        <v>1.9517915019567126E-2</v>
      </c>
      <c r="AV15" t="s">
        <v>302</v>
      </c>
      <c r="AW15" s="147">
        <f>AQ16</f>
        <v>7.5325966509435613E-2</v>
      </c>
      <c r="AX15" s="31">
        <f t="shared" si="5"/>
        <v>88.733877399465541</v>
      </c>
      <c r="AZ15">
        <v>7</v>
      </c>
      <c r="BA15">
        <f t="shared" si="6"/>
        <v>7.0000000000000007E-2</v>
      </c>
      <c r="BB15">
        <v>0.86499999999999999</v>
      </c>
      <c r="BC15">
        <f t="shared" si="7"/>
        <v>6.0550000000000007E-2</v>
      </c>
      <c r="BD15">
        <v>43</v>
      </c>
      <c r="BE15">
        <f t="shared" si="8"/>
        <v>2.6036500000000005</v>
      </c>
      <c r="BF15">
        <v>73.367561400348293</v>
      </c>
      <c r="BG15">
        <f>0.36897495946676/1000</f>
        <v>3.6897495946676E-4</v>
      </c>
      <c r="BH15">
        <f>2.09444904821954/1000</f>
        <v>2.0944490482195399E-3</v>
      </c>
      <c r="BI15" s="31">
        <f t="shared" si="9"/>
        <v>231.0319598911185</v>
      </c>
      <c r="BJ15" s="31">
        <f t="shared" si="10"/>
        <v>16950.25150275444</v>
      </c>
      <c r="BK15" s="31">
        <f t="shared" si="10"/>
        <v>8.5245008036351572E-2</v>
      </c>
      <c r="BL15" s="31">
        <f t="shared" si="10"/>
        <v>0.48388466850224804</v>
      </c>
      <c r="BN15" s="31">
        <f t="shared" si="11"/>
        <v>17080.867800132553</v>
      </c>
      <c r="BO15" s="31">
        <f t="shared" si="12"/>
        <v>17084.011972548516</v>
      </c>
      <c r="BP15">
        <v>2.72</v>
      </c>
      <c r="BQ15">
        <f t="shared" si="13"/>
        <v>16894930.256858241</v>
      </c>
      <c r="BR15">
        <f t="shared" si="14"/>
        <v>16894.930256858243</v>
      </c>
      <c r="BU15" s="31">
        <f>BR27-BU14</f>
        <v>176764.78939410375</v>
      </c>
    </row>
    <row r="16" spans="1:74" ht="13.75" thickBot="1" x14ac:dyDescent="0.75">
      <c r="A16" s="1081"/>
      <c r="B16" s="148" t="s">
        <v>321</v>
      </c>
      <c r="C16" s="149">
        <v>41254</v>
      </c>
      <c r="D16" s="150">
        <v>41184</v>
      </c>
      <c r="E16" s="151">
        <v>38954</v>
      </c>
      <c r="F16" s="152">
        <v>121392</v>
      </c>
      <c r="G16" s="153">
        <v>1042715.8002521525</v>
      </c>
      <c r="H16" s="112"/>
      <c r="I16" s="161"/>
      <c r="J16" s="161"/>
      <c r="K16" s="161"/>
      <c r="L16" s="161"/>
      <c r="M16" s="162"/>
      <c r="Q16" t="s">
        <v>322</v>
      </c>
      <c r="S16">
        <v>3802</v>
      </c>
      <c r="W16" s="116" t="s">
        <v>301</v>
      </c>
      <c r="X16" s="117">
        <v>22222</v>
      </c>
      <c r="Y16" s="117">
        <v>11391</v>
      </c>
      <c r="Z16" s="118">
        <v>0.51</v>
      </c>
      <c r="AA16" s="119">
        <v>39.15</v>
      </c>
      <c r="AB16" s="120">
        <v>14288</v>
      </c>
      <c r="AD16" s="121">
        <f t="shared" si="15"/>
        <v>0.76789108123984939</v>
      </c>
      <c r="AE16" s="121">
        <f t="shared" si="15"/>
        <v>0.77258545849158977</v>
      </c>
      <c r="AG16" s="31">
        <f t="shared" si="16"/>
        <v>17657.655413110337</v>
      </c>
      <c r="AN16" s="31">
        <f t="shared" si="2"/>
        <v>317.54682450000001</v>
      </c>
      <c r="AO16" s="123">
        <f t="shared" si="17"/>
        <v>0.15233486054410386</v>
      </c>
      <c r="AQ16" s="121">
        <f t="shared" si="4"/>
        <v>7.5325966509435613E-2</v>
      </c>
      <c r="AV16" t="s">
        <v>17</v>
      </c>
      <c r="AW16" s="147">
        <f>AQ30</f>
        <v>1.1314731336967924E-3</v>
      </c>
      <c r="AX16" s="31">
        <f t="shared" si="5"/>
        <v>1.3328736819283131</v>
      </c>
      <c r="AZ16">
        <v>4</v>
      </c>
      <c r="BA16">
        <f t="shared" si="6"/>
        <v>0.04</v>
      </c>
      <c r="BB16">
        <v>0.75</v>
      </c>
      <c r="BC16">
        <f t="shared" si="7"/>
        <v>0.03</v>
      </c>
      <c r="BD16">
        <v>44.3</v>
      </c>
      <c r="BE16">
        <f t="shared" si="8"/>
        <v>1.329</v>
      </c>
      <c r="BF16">
        <v>72.513754762763227</v>
      </c>
      <c r="BG16">
        <f>6.43681969225972/1000</f>
        <v>6.4368196922597199E-3</v>
      </c>
      <c r="BH16">
        <f>1.22219082236233/1000</f>
        <v>1.2221908223623299E-3</v>
      </c>
      <c r="BI16" s="31">
        <f t="shared" si="9"/>
        <v>1.7713891232827281</v>
      </c>
      <c r="BJ16" s="31">
        <f t="shared" si="10"/>
        <v>128.4500764751499</v>
      </c>
      <c r="BK16" s="31">
        <f t="shared" si="10"/>
        <v>1.1402112391400945E-2</v>
      </c>
      <c r="BL16" s="31">
        <f t="shared" si="10"/>
        <v>2.1649755293086039E-3</v>
      </c>
      <c r="BN16" s="31">
        <f t="shared" si="11"/>
        <v>129.34305413737593</v>
      </c>
      <c r="BO16" s="31">
        <f t="shared" si="12"/>
        <v>129.3668630484789</v>
      </c>
      <c r="BP16">
        <v>2.34</v>
      </c>
      <c r="BQ16">
        <f t="shared" si="13"/>
        <v>124756.97662849011</v>
      </c>
      <c r="BR16">
        <f t="shared" si="14"/>
        <v>124.75697662849011</v>
      </c>
    </row>
    <row r="17" spans="1:71" ht="13.75" thickBot="1" x14ac:dyDescent="0.75">
      <c r="A17" s="1081"/>
      <c r="B17" s="148" t="s">
        <v>323</v>
      </c>
      <c r="C17" s="149">
        <v>39454</v>
      </c>
      <c r="D17" s="150">
        <v>39405</v>
      </c>
      <c r="E17" s="151">
        <v>37215</v>
      </c>
      <c r="F17" s="152">
        <v>116074</v>
      </c>
      <c r="G17" s="153">
        <v>1158789.8002521526</v>
      </c>
      <c r="H17" s="112"/>
      <c r="I17" s="161"/>
      <c r="J17" s="161"/>
      <c r="K17" s="161"/>
      <c r="L17" s="161"/>
      <c r="M17" s="162"/>
      <c r="Q17" t="s">
        <v>324</v>
      </c>
      <c r="S17">
        <v>3576</v>
      </c>
      <c r="W17" s="133" t="s">
        <v>305</v>
      </c>
      <c r="X17" s="156">
        <v>5250</v>
      </c>
      <c r="Y17" s="156">
        <v>2769</v>
      </c>
      <c r="Z17" s="135">
        <v>0.53</v>
      </c>
      <c r="AA17" s="134">
        <v>40.729999999999997</v>
      </c>
      <c r="AB17" s="136">
        <v>14865</v>
      </c>
      <c r="AD17" s="121">
        <f t="shared" si="15"/>
        <v>0.89179548156956001</v>
      </c>
      <c r="AE17" s="121">
        <f t="shared" si="15"/>
        <v>0.94601981551076186</v>
      </c>
      <c r="AG17" s="31">
        <f t="shared" si="16"/>
        <v>3390.6064209274673</v>
      </c>
      <c r="AN17" s="31">
        <f t="shared" si="2"/>
        <v>78.048862499999984</v>
      </c>
      <c r="AO17" s="123">
        <f t="shared" si="17"/>
        <v>3.7441919324132419E-2</v>
      </c>
      <c r="AQ17" s="121">
        <f t="shared" si="4"/>
        <v>1.8514138858203393E-2</v>
      </c>
      <c r="AU17" t="s">
        <v>325</v>
      </c>
      <c r="AV17" t="s">
        <v>264</v>
      </c>
      <c r="AW17" s="147">
        <f>AQ8</f>
        <v>4.1611518993850573E-5</v>
      </c>
      <c r="AX17" s="31">
        <f t="shared" si="5"/>
        <v>4.9018307974094837E-2</v>
      </c>
      <c r="AZ17">
        <v>40</v>
      </c>
      <c r="BA17">
        <f t="shared" si="6"/>
        <v>0.4</v>
      </c>
      <c r="BB17">
        <v>0.75</v>
      </c>
      <c r="BC17">
        <f t="shared" si="7"/>
        <v>0.30000000000000004</v>
      </c>
      <c r="BD17">
        <v>44.3</v>
      </c>
      <c r="BE17">
        <f t="shared" si="8"/>
        <v>13.290000000000001</v>
      </c>
      <c r="BF17">
        <v>72.512080209241503</v>
      </c>
      <c r="BG17">
        <f>15.8206501432308/1000</f>
        <v>1.5820650143230801E-2</v>
      </c>
      <c r="BH17">
        <f>0.84755262174617/1000</f>
        <v>8.4755262174616996E-4</v>
      </c>
      <c r="BI17" s="31">
        <f t="shared" si="9"/>
        <v>0.6514533129757204</v>
      </c>
      <c r="BJ17" s="31">
        <f>$BI17*BF17</f>
        <v>47.238234883071549</v>
      </c>
      <c r="BK17" s="31">
        <f t="shared" si="10"/>
        <v>1.0306414949237511E-2</v>
      </c>
      <c r="BL17" s="31">
        <f t="shared" si="10"/>
        <v>5.5214096335780001E-4</v>
      </c>
      <c r="BN17" s="31">
        <f t="shared" si="11"/>
        <v>47.673131856940017</v>
      </c>
      <c r="BO17" s="31">
        <f t="shared" si="12"/>
        <v>47.681907321273627</v>
      </c>
      <c r="BP17">
        <v>2.34</v>
      </c>
      <c r="BQ17">
        <f t="shared" si="13"/>
        <v>45881.136263752764</v>
      </c>
      <c r="BR17">
        <f t="shared" si="14"/>
        <v>45.881136263752765</v>
      </c>
    </row>
    <row r="18" spans="1:71" ht="13.75" thickBot="1" x14ac:dyDescent="0.75">
      <c r="A18" s="1081"/>
      <c r="B18" s="148" t="s">
        <v>326</v>
      </c>
      <c r="C18" s="149">
        <v>39646</v>
      </c>
      <c r="D18" s="150">
        <v>41051</v>
      </c>
      <c r="E18" s="151">
        <v>37101</v>
      </c>
      <c r="F18" s="152">
        <v>117798</v>
      </c>
      <c r="G18" s="153">
        <v>1276587.8002521526</v>
      </c>
      <c r="H18" s="112"/>
      <c r="I18" s="161"/>
      <c r="J18" s="161"/>
      <c r="K18" s="161"/>
      <c r="L18" s="161"/>
      <c r="M18" s="162"/>
      <c r="Q18" t="s">
        <v>307</v>
      </c>
      <c r="S18">
        <v>3113</v>
      </c>
      <c r="W18" s="116" t="s">
        <v>308</v>
      </c>
      <c r="X18" s="117">
        <v>6919</v>
      </c>
      <c r="Y18" s="117">
        <v>3391</v>
      </c>
      <c r="Z18" s="118">
        <v>0.49</v>
      </c>
      <c r="AA18" s="119">
        <v>67.87</v>
      </c>
      <c r="AB18" s="120">
        <v>24772</v>
      </c>
      <c r="AD18" s="121">
        <f t="shared" si="15"/>
        <v>0.99396638414020977</v>
      </c>
      <c r="AE18" s="121">
        <f t="shared" si="15"/>
        <v>0.99793996468510893</v>
      </c>
      <c r="AG18" s="31">
        <f t="shared" si="16"/>
        <v>4126.9484269501509</v>
      </c>
      <c r="AN18" s="31">
        <f t="shared" si="2"/>
        <v>171.40127345000002</v>
      </c>
      <c r="AO18" s="123">
        <f t="shared" si="17"/>
        <v>8.2225319460209459E-2</v>
      </c>
      <c r="AQ18" s="121">
        <f t="shared" si="4"/>
        <v>4.0658465421276213E-2</v>
      </c>
      <c r="AV18" t="s">
        <v>302</v>
      </c>
      <c r="AW18" s="147">
        <f>AQ15</f>
        <v>1.9517915019567126E-2</v>
      </c>
      <c r="AX18" s="31">
        <f t="shared" si="5"/>
        <v>22.992075093022699</v>
      </c>
      <c r="AZ18">
        <v>38</v>
      </c>
      <c r="BA18">
        <f t="shared" si="6"/>
        <v>0.38</v>
      </c>
      <c r="BB18">
        <v>0.86499999999999999</v>
      </c>
      <c r="BC18">
        <f t="shared" si="7"/>
        <v>0.32869999999999999</v>
      </c>
      <c r="BD18">
        <v>43</v>
      </c>
      <c r="BE18">
        <f t="shared" si="8"/>
        <v>14.1341</v>
      </c>
      <c r="BF18">
        <v>73.367479939063315</v>
      </c>
      <c r="BG18">
        <f>2.07749454663654/1000</f>
        <v>2.0774945466365403E-3</v>
      </c>
      <c r="BH18">
        <f>2.35970659533889/1000</f>
        <v>2.3597065953388898E-3</v>
      </c>
      <c r="BI18" s="31">
        <f t="shared" si="9"/>
        <v>324.97228857229214</v>
      </c>
      <c r="BJ18" s="31">
        <f t="shared" si="10"/>
        <v>23842.397862579139</v>
      </c>
      <c r="BK18" s="31">
        <f>$BI18*BG18</f>
        <v>0.67512815731693299</v>
      </c>
      <c r="BL18" s="31">
        <f t="shared" si="10"/>
        <v>0.76683925264641073</v>
      </c>
      <c r="BN18" s="31">
        <f t="shared" si="11"/>
        <v>24064.513852935313</v>
      </c>
      <c r="BO18" s="31">
        <f t="shared" si="12"/>
        <v>24068.94354477213</v>
      </c>
      <c r="BP18">
        <v>2.72</v>
      </c>
      <c r="BQ18">
        <f t="shared" si="13"/>
        <v>23764608.816148266</v>
      </c>
      <c r="BR18">
        <f t="shared" si="14"/>
        <v>23764.608816148266</v>
      </c>
    </row>
    <row r="19" spans="1:71" ht="13.75" thickBot="1" x14ac:dyDescent="0.75">
      <c r="A19" s="1082"/>
      <c r="B19" s="163" t="s">
        <v>327</v>
      </c>
      <c r="C19" s="164">
        <v>40180</v>
      </c>
      <c r="D19" s="165">
        <v>42745</v>
      </c>
      <c r="E19" s="166">
        <v>36800</v>
      </c>
      <c r="F19" s="167">
        <v>119725</v>
      </c>
      <c r="G19" s="153">
        <v>1396312.8002521526</v>
      </c>
      <c r="H19" s="112"/>
      <c r="I19" s="161"/>
      <c r="J19" s="161"/>
      <c r="K19" s="161"/>
      <c r="L19" s="161"/>
      <c r="M19" s="162"/>
      <c r="W19" s="1086" t="s">
        <v>122</v>
      </c>
      <c r="X19" s="1087"/>
      <c r="Y19" s="1087"/>
      <c r="Z19" s="1087"/>
      <c r="AA19" s="1087"/>
      <c r="AB19" s="1088"/>
      <c r="AG19" t="s">
        <v>328</v>
      </c>
      <c r="AN19" s="31"/>
      <c r="AO19" s="31">
        <f>SUM(AN13:AN18)</f>
        <v>2084.5315600499998</v>
      </c>
      <c r="AQ19" s="121">
        <f t="shared" si="4"/>
        <v>0</v>
      </c>
      <c r="AV19" t="s">
        <v>17</v>
      </c>
      <c r="AW19" s="147">
        <f>AQ29</f>
        <v>1.4564031647847702E-4</v>
      </c>
      <c r="AX19" s="31">
        <f t="shared" si="5"/>
        <v>0.17156407790933195</v>
      </c>
      <c r="AZ19">
        <v>18</v>
      </c>
      <c r="BA19">
        <f t="shared" si="6"/>
        <v>0.18</v>
      </c>
      <c r="BB19">
        <v>0.75</v>
      </c>
      <c r="BC19">
        <f t="shared" si="7"/>
        <v>0.13500000000000001</v>
      </c>
      <c r="BD19">
        <v>44.3</v>
      </c>
      <c r="BE19">
        <f t="shared" si="8"/>
        <v>5.9805000000000001</v>
      </c>
      <c r="BF19">
        <v>72.512080209241503</v>
      </c>
      <c r="BG19">
        <f>15.8206501432308/1000</f>
        <v>1.5820650143230801E-2</v>
      </c>
      <c r="BH19">
        <f>0.84755262174617/1000</f>
        <v>8.4755262174616996E-4</v>
      </c>
      <c r="BI19" s="31">
        <f t="shared" si="9"/>
        <v>1.0260389679367599</v>
      </c>
      <c r="BJ19" s="31">
        <f t="shared" si="10"/>
        <v>74.400219940837701</v>
      </c>
      <c r="BK19" s="31">
        <f t="shared" si="10"/>
        <v>1.6232603545049084E-2</v>
      </c>
      <c r="BL19" s="31">
        <f t="shared" si="10"/>
        <v>8.696220172885352E-4</v>
      </c>
      <c r="BN19" s="31">
        <f t="shared" si="11"/>
        <v>75.085182674680539</v>
      </c>
      <c r="BO19" s="31">
        <f t="shared" si="12"/>
        <v>75.099004031005961</v>
      </c>
      <c r="BP19">
        <v>2.34</v>
      </c>
      <c r="BQ19">
        <f t="shared" si="13"/>
        <v>72262.789615410598</v>
      </c>
      <c r="BR19">
        <f t="shared" si="14"/>
        <v>72.262789615410597</v>
      </c>
    </row>
    <row r="20" spans="1:71" ht="13.75" thickBot="1" x14ac:dyDescent="0.75">
      <c r="A20" s="168" t="s">
        <v>329</v>
      </c>
      <c r="B20" s="169"/>
      <c r="C20" s="170">
        <v>39154.089654148054</v>
      </c>
      <c r="D20" s="170">
        <v>39736.608881551052</v>
      </c>
      <c r="E20" s="170">
        <v>37468.701485313599</v>
      </c>
      <c r="F20" s="171">
        <v>116359.40002101271</v>
      </c>
      <c r="G20" s="171"/>
      <c r="H20" s="172"/>
      <c r="I20" s="173"/>
      <c r="J20" s="173"/>
      <c r="K20" s="173"/>
      <c r="L20" s="173"/>
      <c r="M20" s="174"/>
      <c r="W20" s="116" t="s">
        <v>223</v>
      </c>
      <c r="X20" s="117">
        <v>269825</v>
      </c>
      <c r="Y20" s="117">
        <v>126330</v>
      </c>
      <c r="Z20" s="118">
        <v>0.47</v>
      </c>
      <c r="AA20" s="119">
        <v>35.020000000000003</v>
      </c>
      <c r="AB20" s="120">
        <v>12781</v>
      </c>
      <c r="AD20" s="121">
        <f>X20/$X$26</f>
        <v>0.85715874074780007</v>
      </c>
      <c r="AE20" s="121">
        <f>(X20-X13-X6)/X20</f>
        <v>7.0334476049291203E-2</v>
      </c>
      <c r="AG20">
        <f>S7</f>
        <v>223999</v>
      </c>
      <c r="AI20" s="121">
        <f>AG20/$AG$26</f>
        <v>0.87147953764691688</v>
      </c>
      <c r="AN20" s="31">
        <f>AA20*X20*365/1000000</f>
        <v>3448.9840975000002</v>
      </c>
      <c r="AO20" s="123">
        <f t="shared" ref="AO20:AO25" si="18">AN20/$AO$26</f>
        <v>0.81814094985497487</v>
      </c>
      <c r="AQ20" s="121">
        <f t="shared" si="4"/>
        <v>0.81814094985497487</v>
      </c>
      <c r="AU20" t="str">
        <f>W10</f>
        <v>Vörubifreiðar ≤12t</v>
      </c>
      <c r="AV20" t="s">
        <v>264</v>
      </c>
      <c r="AW20" s="147">
        <f>AQ10</f>
        <v>1.2084570413085115E-3</v>
      </c>
      <c r="AX20" s="31">
        <f t="shared" si="5"/>
        <v>1.4235606114998625</v>
      </c>
      <c r="AZ20">
        <v>30</v>
      </c>
      <c r="BA20">
        <f t="shared" si="6"/>
        <v>0.3</v>
      </c>
      <c r="BB20">
        <v>0.75</v>
      </c>
      <c r="BC20">
        <f t="shared" si="7"/>
        <v>0.22499999999999998</v>
      </c>
      <c r="BD20">
        <v>44.3</v>
      </c>
      <c r="BE20">
        <f t="shared" si="8"/>
        <v>9.9674999999999976</v>
      </c>
      <c r="BF20">
        <v>72.513754762763227</v>
      </c>
      <c r="BG20">
        <f>6.43681969225972/1000</f>
        <v>6.4368196922597199E-3</v>
      </c>
      <c r="BH20">
        <f>1.22219082236233/1000</f>
        <v>1.2221908223623299E-3</v>
      </c>
      <c r="BI20" s="31">
        <f t="shared" si="9"/>
        <v>14.189340395124876</v>
      </c>
      <c r="BJ20" s="31">
        <f t="shared" si="10"/>
        <v>1028.9223496574552</v>
      </c>
      <c r="BK20" s="31">
        <f t="shared" si="10"/>
        <v>9.133422567551612E-2</v>
      </c>
      <c r="BL20" s="31">
        <f t="shared" si="10"/>
        <v>1.7342081606296699E-2</v>
      </c>
      <c r="BN20" s="31">
        <f t="shared" si="11"/>
        <v>1036.0753596020381</v>
      </c>
      <c r="BO20" s="31">
        <f t="shared" si="12"/>
        <v>1036.2660758820678</v>
      </c>
      <c r="BP20">
        <v>2.34</v>
      </c>
      <c r="BQ20">
        <f t="shared" si="13"/>
        <v>999339.54927290336</v>
      </c>
      <c r="BR20">
        <f t="shared" si="14"/>
        <v>999.33954927290335</v>
      </c>
    </row>
    <row r="21" spans="1:71" ht="13.75" thickBot="1" x14ac:dyDescent="0.75">
      <c r="A21" s="1081">
        <v>2006</v>
      </c>
      <c r="B21" s="175" t="s">
        <v>295</v>
      </c>
      <c r="C21" s="138">
        <v>37989</v>
      </c>
      <c r="D21" s="139">
        <v>38437</v>
      </c>
      <c r="E21" s="140">
        <v>34682</v>
      </c>
      <c r="F21" s="141">
        <v>111108</v>
      </c>
      <c r="G21" s="142">
        <v>111108</v>
      </c>
      <c r="H21" s="1127" t="s">
        <v>330</v>
      </c>
      <c r="I21" s="176">
        <v>2.7729682934747323E-2</v>
      </c>
      <c r="J21" s="177">
        <v>7.1027113828670246E-2</v>
      </c>
      <c r="K21" s="178">
        <v>6.2644656554256883E-2</v>
      </c>
      <c r="L21" s="179">
        <v>6.2644656554256883E-2</v>
      </c>
      <c r="M21" s="180">
        <v>6.2644656554256883E-2</v>
      </c>
      <c r="Q21" t="s">
        <v>331</v>
      </c>
      <c r="S21">
        <v>927</v>
      </c>
      <c r="W21" s="133" t="s">
        <v>294</v>
      </c>
      <c r="X21" s="156">
        <v>1386</v>
      </c>
      <c r="Y21" s="134">
        <v>759</v>
      </c>
      <c r="Z21" s="135">
        <v>0.55000000000000004</v>
      </c>
      <c r="AA21" s="134">
        <v>70.17</v>
      </c>
      <c r="AB21" s="136">
        <v>25613</v>
      </c>
      <c r="AD21" s="121">
        <f t="shared" ref="AD21:AD25" si="19">X21/$X$26</f>
        <v>4.4029352901934623E-3</v>
      </c>
      <c r="AE21" s="121">
        <f t="shared" ref="AE21:AE25" si="20">(Y21-Y14-Y7)/Y21</f>
        <v>0</v>
      </c>
      <c r="AG21">
        <v>927</v>
      </c>
      <c r="AI21" s="121">
        <f t="shared" ref="AI21:AI25" si="21">AG21/$AG$26</f>
        <v>3.606540794372707E-3</v>
      </c>
      <c r="AN21" s="31">
        <f t="shared" si="2"/>
        <v>35.498301299999994</v>
      </c>
      <c r="AO21" s="123">
        <f t="shared" si="18"/>
        <v>8.420628545336482E-3</v>
      </c>
      <c r="AQ21" s="121">
        <f t="shared" si="4"/>
        <v>8.420628545336482E-3</v>
      </c>
      <c r="AV21" t="s">
        <v>302</v>
      </c>
      <c r="AW21" s="147">
        <f>AQ17</f>
        <v>1.8514138858203393E-2</v>
      </c>
      <c r="AX21" s="31">
        <f t="shared" si="5"/>
        <v>21.809628256077055</v>
      </c>
      <c r="AZ21">
        <v>26</v>
      </c>
      <c r="BA21">
        <f t="shared" si="6"/>
        <v>0.26</v>
      </c>
      <c r="BB21">
        <v>0.86499999999999999</v>
      </c>
      <c r="BC21">
        <f t="shared" si="7"/>
        <v>0.22490000000000002</v>
      </c>
      <c r="BD21">
        <v>43</v>
      </c>
      <c r="BE21">
        <f t="shared" si="8"/>
        <v>9.6707000000000001</v>
      </c>
      <c r="BF21">
        <v>73.367561400348293</v>
      </c>
      <c r="BG21">
        <f>0.36897495946676/1000</f>
        <v>3.6897495946676E-4</v>
      </c>
      <c r="BH21">
        <f>2.09444904821954/1000</f>
        <v>2.0944490482195399E-3</v>
      </c>
      <c r="BI21" s="31">
        <f t="shared" si="9"/>
        <v>210.91437197604438</v>
      </c>
      <c r="BJ21" s="31">
        <f t="shared" si="10"/>
        <v>15474.273136168335</v>
      </c>
      <c r="BK21" s="31">
        <f t="shared" si="10"/>
        <v>7.7822121850818118E-2</v>
      </c>
      <c r="BL21" s="31">
        <f t="shared" si="10"/>
        <v>0.44174940564104814</v>
      </c>
      <c r="BN21" s="31">
        <f t="shared" si="11"/>
        <v>15593.515748075035</v>
      </c>
      <c r="BO21" s="31">
        <f t="shared" si="12"/>
        <v>15596.386135145332</v>
      </c>
      <c r="BP21">
        <v>2.72</v>
      </c>
      <c r="BQ21">
        <f t="shared" si="13"/>
        <v>15423769.102697695</v>
      </c>
      <c r="BR21">
        <f t="shared" si="14"/>
        <v>15423.769102697695</v>
      </c>
    </row>
    <row r="22" spans="1:71" ht="13.75" thickBot="1" x14ac:dyDescent="0.75">
      <c r="A22" s="1081"/>
      <c r="B22" s="148" t="s">
        <v>299</v>
      </c>
      <c r="C22" s="149">
        <v>40907</v>
      </c>
      <c r="D22" s="150">
        <v>40671</v>
      </c>
      <c r="E22" s="151">
        <v>37501</v>
      </c>
      <c r="F22" s="152">
        <v>119079</v>
      </c>
      <c r="G22" s="153">
        <v>230187</v>
      </c>
      <c r="H22" s="1127"/>
      <c r="I22" s="181">
        <v>2.7659146862282068E-2</v>
      </c>
      <c r="J22" s="182">
        <v>6.4039269095448867E-2</v>
      </c>
      <c r="K22" s="183">
        <v>6.2061931004768756E-2</v>
      </c>
      <c r="L22" s="184">
        <v>6.2061931004768756E-2</v>
      </c>
      <c r="M22" s="185">
        <v>6.2343124549252948E-2</v>
      </c>
      <c r="Q22" t="s">
        <v>332</v>
      </c>
      <c r="S22">
        <v>1158</v>
      </c>
      <c r="W22" s="116" t="s">
        <v>297</v>
      </c>
      <c r="X22" s="117">
        <v>1792</v>
      </c>
      <c r="Y22" s="119">
        <v>988</v>
      </c>
      <c r="Z22" s="118">
        <v>0.55000000000000004</v>
      </c>
      <c r="AA22" s="119">
        <v>127.43</v>
      </c>
      <c r="AB22" s="120">
        <v>46511</v>
      </c>
      <c r="AD22" s="121">
        <f t="shared" si="19"/>
        <v>5.6926840115632642E-3</v>
      </c>
      <c r="AE22" s="121">
        <f t="shared" si="20"/>
        <v>1.0121457489878543E-3</v>
      </c>
      <c r="AG22">
        <v>1158</v>
      </c>
      <c r="AI22" s="121">
        <f t="shared" si="21"/>
        <v>4.5052580797018283E-3</v>
      </c>
      <c r="AN22" s="31">
        <f t="shared" si="2"/>
        <v>83.349414400000001</v>
      </c>
      <c r="AO22" s="123">
        <f t="shared" si="18"/>
        <v>1.9771494196363693E-2</v>
      </c>
      <c r="AQ22" s="121">
        <f t="shared" si="4"/>
        <v>1.9771494196363693E-2</v>
      </c>
      <c r="AV22" t="s">
        <v>17</v>
      </c>
      <c r="AW22" s="147">
        <f>AQ31</f>
        <v>3.8061639096331075E-6</v>
      </c>
      <c r="AX22" s="31">
        <f t="shared" si="5"/>
        <v>4.4836554692909061E-3</v>
      </c>
      <c r="AZ22">
        <v>18</v>
      </c>
      <c r="BA22">
        <f t="shared" si="6"/>
        <v>0.18</v>
      </c>
      <c r="BB22">
        <v>0.75</v>
      </c>
      <c r="BC22">
        <f t="shared" si="7"/>
        <v>0.13500000000000001</v>
      </c>
      <c r="BD22">
        <v>44.3</v>
      </c>
      <c r="BE22">
        <f t="shared" si="8"/>
        <v>5.9805000000000001</v>
      </c>
      <c r="BF22">
        <v>72.513754762763227</v>
      </c>
      <c r="BG22">
        <f>6.43681969225972/1000</f>
        <v>6.4368196922597199E-3</v>
      </c>
      <c r="BH22">
        <f>1.22219082236233/1000</f>
        <v>1.2221908223623299E-3</v>
      </c>
      <c r="BI22" s="31">
        <f t="shared" si="9"/>
        <v>2.6814501534094263E-2</v>
      </c>
      <c r="BJ22" s="31">
        <f t="shared" si="10"/>
        <v>1.9444201883290497</v>
      </c>
      <c r="BK22" s="31">
        <f t="shared" si="10"/>
        <v>1.7260011151278641E-4</v>
      </c>
      <c r="BL22" s="31">
        <f t="shared" si="10"/>
        <v>3.2772437681190624E-5</v>
      </c>
      <c r="BN22" s="31">
        <f t="shared" si="11"/>
        <v>1.9579376874369234</v>
      </c>
      <c r="BO22" s="31">
        <f t="shared" si="12"/>
        <v>1.9582980961550898</v>
      </c>
      <c r="BP22">
        <v>2.34</v>
      </c>
      <c r="BQ22">
        <f t="shared" si="13"/>
        <v>1888.5156836653296</v>
      </c>
      <c r="BR22">
        <f t="shared" si="14"/>
        <v>1.8885156836653296</v>
      </c>
    </row>
    <row r="23" spans="1:71" ht="13.75" thickBot="1" x14ac:dyDescent="0.75">
      <c r="A23" s="1081"/>
      <c r="B23" s="148" t="s">
        <v>303</v>
      </c>
      <c r="C23" s="149">
        <v>42550</v>
      </c>
      <c r="D23" s="150">
        <v>41844</v>
      </c>
      <c r="E23" s="151">
        <v>39087</v>
      </c>
      <c r="F23" s="152">
        <v>123481</v>
      </c>
      <c r="G23" s="153">
        <v>353668</v>
      </c>
      <c r="H23" s="1127"/>
      <c r="I23" s="181">
        <v>8.2311644706720255E-2</v>
      </c>
      <c r="J23" s="182">
        <v>8.1184996680681562E-2</v>
      </c>
      <c r="K23" s="183">
        <v>8.8449213399812709E-2</v>
      </c>
      <c r="L23" s="184">
        <v>8.8449213399812709E-2</v>
      </c>
      <c r="M23" s="185">
        <v>7.1314415927035579E-2</v>
      </c>
      <c r="W23" s="133" t="s">
        <v>301</v>
      </c>
      <c r="X23" s="156">
        <v>28939</v>
      </c>
      <c r="Y23" s="156">
        <v>14744</v>
      </c>
      <c r="Z23" s="135">
        <v>0.51</v>
      </c>
      <c r="AA23" s="134">
        <v>36.94</v>
      </c>
      <c r="AB23" s="136">
        <v>13482</v>
      </c>
      <c r="AD23" s="121">
        <f t="shared" si="19"/>
        <v>9.1931128688967245E-2</v>
      </c>
      <c r="AE23" s="121">
        <f t="shared" si="20"/>
        <v>9.4275637547476948E-3</v>
      </c>
      <c r="AG23">
        <f>S8</f>
        <v>22995</v>
      </c>
      <c r="AI23" s="121">
        <f t="shared" si="21"/>
        <v>8.9463220675944338E-2</v>
      </c>
      <c r="AN23" s="31">
        <f>AA23*X23*365/1000000</f>
        <v>390.18743089999998</v>
      </c>
      <c r="AO23" s="123">
        <f t="shared" si="18"/>
        <v>9.255720128410895E-2</v>
      </c>
      <c r="AQ23" s="121">
        <f t="shared" si="4"/>
        <v>9.255720128410895E-2</v>
      </c>
      <c r="AU23" t="str">
        <f>W25</f>
        <v>Vörubifreiðar &gt;12t</v>
      </c>
      <c r="AV23" t="s">
        <v>264</v>
      </c>
      <c r="AW23" s="147">
        <f>AQ10</f>
        <v>1.2084570413085115E-3</v>
      </c>
      <c r="AX23" s="31">
        <f t="shared" si="5"/>
        <v>1.4235606114998625</v>
      </c>
      <c r="AZ23">
        <v>40</v>
      </c>
      <c r="BA23">
        <f t="shared" si="6"/>
        <v>0.4</v>
      </c>
      <c r="BB23">
        <v>0.75</v>
      </c>
      <c r="BC23">
        <f t="shared" si="7"/>
        <v>0.30000000000000004</v>
      </c>
      <c r="BD23">
        <v>44.3</v>
      </c>
      <c r="BE23">
        <f t="shared" si="8"/>
        <v>13.290000000000001</v>
      </c>
      <c r="BF23">
        <v>72.512080209241503</v>
      </c>
      <c r="BG23">
        <f>15.8206501432308/1000</f>
        <v>1.5820650143230801E-2</v>
      </c>
      <c r="BH23">
        <f>0.84755262174617/1000</f>
        <v>8.4755262174616996E-4</v>
      </c>
      <c r="BI23" s="31">
        <f t="shared" si="9"/>
        <v>18.919120526833172</v>
      </c>
      <c r="BJ23" s="31">
        <f t="shared" si="10"/>
        <v>1371.8647851300343</v>
      </c>
      <c r="BK23" s="31">
        <f t="shared" si="10"/>
        <v>0.29931278687264401</v>
      </c>
      <c r="BL23" s="31">
        <f t="shared" si="10"/>
        <v>1.6034950203649236E-2</v>
      </c>
      <c r="BN23" s="31">
        <f t="shared" si="11"/>
        <v>1384.4948049664354</v>
      </c>
      <c r="BO23" s="31">
        <f t="shared" si="12"/>
        <v>1384.7496567940332</v>
      </c>
      <c r="BP23">
        <v>2.34</v>
      </c>
      <c r="BQ23">
        <f t="shared" si="13"/>
        <v>1332452.7323638711</v>
      </c>
      <c r="BR23">
        <f t="shared" si="14"/>
        <v>1332.4527323638711</v>
      </c>
    </row>
    <row r="24" spans="1:71" ht="13.75" thickBot="1" x14ac:dyDescent="0.75">
      <c r="A24" s="1081"/>
      <c r="B24" s="148" t="s">
        <v>306</v>
      </c>
      <c r="C24" s="149">
        <v>38387</v>
      </c>
      <c r="D24" s="150">
        <v>39569</v>
      </c>
      <c r="E24" s="151">
        <v>37569</v>
      </c>
      <c r="F24" s="152">
        <v>115525</v>
      </c>
      <c r="G24" s="153">
        <v>469193</v>
      </c>
      <c r="H24" s="1127"/>
      <c r="I24" s="181">
        <v>-5.8474685793451248E-2</v>
      </c>
      <c r="J24" s="182">
        <v>-1.2760188212776139E-3</v>
      </c>
      <c r="K24" s="183">
        <v>-2.8704408751996091E-2</v>
      </c>
      <c r="L24" s="184">
        <v>-2.8704408751996091E-2</v>
      </c>
      <c r="M24" s="185">
        <v>4.4823455965850467E-2</v>
      </c>
      <c r="Q24" t="s">
        <v>315</v>
      </c>
      <c r="W24" s="116" t="s">
        <v>305</v>
      </c>
      <c r="X24" s="117">
        <v>5887</v>
      </c>
      <c r="Y24" s="117">
        <v>2927</v>
      </c>
      <c r="Z24" s="118">
        <v>0.5</v>
      </c>
      <c r="AA24" s="119">
        <v>39.71</v>
      </c>
      <c r="AB24" s="120">
        <v>14496</v>
      </c>
      <c r="AD24" s="121">
        <f t="shared" si="19"/>
        <v>1.870135645986213E-2</v>
      </c>
      <c r="AE24" s="121">
        <f t="shared" si="20"/>
        <v>0</v>
      </c>
      <c r="AG24">
        <f>S16</f>
        <v>3802</v>
      </c>
      <c r="AI24" s="121">
        <f t="shared" si="21"/>
        <v>1.4791874973252461E-2</v>
      </c>
      <c r="AN24" s="31">
        <f t="shared" si="2"/>
        <v>85.327061050000012</v>
      </c>
      <c r="AO24" s="123">
        <f t="shared" si="18"/>
        <v>2.024061601976709E-2</v>
      </c>
      <c r="AQ24" s="121">
        <f t="shared" si="4"/>
        <v>2.024061601976709E-2</v>
      </c>
      <c r="AV24" t="s">
        <v>302</v>
      </c>
      <c r="AW24" s="147">
        <f>AQ18</f>
        <v>4.0658465421276213E-2</v>
      </c>
      <c r="AX24" s="31">
        <f t="shared" si="5"/>
        <v>47.895612271898401</v>
      </c>
      <c r="AZ24">
        <v>38</v>
      </c>
      <c r="BA24">
        <f t="shared" si="6"/>
        <v>0.38</v>
      </c>
      <c r="BB24">
        <v>0.86499999999999999</v>
      </c>
      <c r="BC24">
        <f t="shared" si="7"/>
        <v>0.32869999999999999</v>
      </c>
      <c r="BD24">
        <v>43</v>
      </c>
      <c r="BE24">
        <f t="shared" si="8"/>
        <v>14.1341</v>
      </c>
      <c r="BF24">
        <v>73.367479939063315</v>
      </c>
      <c r="BG24">
        <f>2.07749454663654/1000</f>
        <v>2.0774945466365403E-3</v>
      </c>
      <c r="BH24">
        <f>2.35970659533889/1000</f>
        <v>2.3597065953388898E-3</v>
      </c>
      <c r="BI24" s="31">
        <f t="shared" si="9"/>
        <v>676.96137341223914</v>
      </c>
      <c r="BJ24" s="31">
        <f t="shared" si="10"/>
        <v>49666.949983343206</v>
      </c>
      <c r="BK24" s="31">
        <f t="shared" si="10"/>
        <v>1.4063835615475095</v>
      </c>
      <c r="BL24" s="31">
        <f t="shared" si="10"/>
        <v>1.5974302176305337</v>
      </c>
      <c r="BN24" s="31">
        <f t="shared" si="11"/>
        <v>50129.64773073863</v>
      </c>
      <c r="BO24" s="31">
        <f t="shared" si="12"/>
        <v>50138.87537991086</v>
      </c>
      <c r="BP24">
        <v>2.72</v>
      </c>
      <c r="BQ24">
        <f t="shared" si="13"/>
        <v>49504904.844234191</v>
      </c>
      <c r="BR24">
        <f t="shared" si="14"/>
        <v>49504.904844234188</v>
      </c>
    </row>
    <row r="25" spans="1:71" ht="13.75" thickBot="1" x14ac:dyDescent="0.75">
      <c r="A25" s="1081"/>
      <c r="B25" s="148" t="s">
        <v>310</v>
      </c>
      <c r="C25" s="149">
        <v>42024</v>
      </c>
      <c r="D25" s="150">
        <v>42513</v>
      </c>
      <c r="E25" s="151">
        <v>40787</v>
      </c>
      <c r="F25" s="152">
        <v>125324</v>
      </c>
      <c r="G25" s="153">
        <v>594517</v>
      </c>
      <c r="H25" s="1127"/>
      <c r="I25" s="181">
        <v>4.4619553058738722E-2</v>
      </c>
      <c r="J25" s="182">
        <v>3.0547273737935216E-2</v>
      </c>
      <c r="K25" s="183">
        <v>3.769085549630713E-2</v>
      </c>
      <c r="L25" s="184">
        <v>3.769085549630713E-2</v>
      </c>
      <c r="M25" s="185">
        <v>4.3311761643636926E-2</v>
      </c>
      <c r="W25" s="186" t="s">
        <v>308</v>
      </c>
      <c r="X25" s="187">
        <v>6961</v>
      </c>
      <c r="Y25" s="187">
        <v>3398</v>
      </c>
      <c r="Z25" s="188">
        <v>0.49</v>
      </c>
      <c r="AA25" s="189">
        <v>67.81</v>
      </c>
      <c r="AB25" s="190">
        <v>24751</v>
      </c>
      <c r="AD25" s="121">
        <f t="shared" si="19"/>
        <v>2.2113154801613775E-2</v>
      </c>
      <c r="AE25" s="121">
        <f t="shared" si="20"/>
        <v>2.0600353148911123E-3</v>
      </c>
      <c r="AG25">
        <f>S15</f>
        <v>4152</v>
      </c>
      <c r="AI25" s="121">
        <f t="shared" si="21"/>
        <v>1.6153567829811737E-2</v>
      </c>
      <c r="AN25" s="31">
        <f t="shared" si="2"/>
        <v>172.28927465000001</v>
      </c>
      <c r="AO25" s="123">
        <f t="shared" si="18"/>
        <v>4.0869110099448824E-2</v>
      </c>
      <c r="AQ25" s="121">
        <f>AN25/$AO$26</f>
        <v>4.0869110099448824E-2</v>
      </c>
      <c r="AV25" t="s">
        <v>17</v>
      </c>
      <c r="AW25" s="147">
        <f>AQ32</f>
        <v>0</v>
      </c>
      <c r="AX25" s="31">
        <f t="shared" si="5"/>
        <v>0</v>
      </c>
      <c r="AZ25">
        <v>18</v>
      </c>
      <c r="BA25">
        <f t="shared" si="6"/>
        <v>0.18</v>
      </c>
      <c r="BB25">
        <v>0.75</v>
      </c>
      <c r="BC25">
        <f t="shared" si="7"/>
        <v>0.13500000000000001</v>
      </c>
      <c r="BD25">
        <v>44.3</v>
      </c>
      <c r="BE25">
        <f t="shared" si="8"/>
        <v>5.9805000000000001</v>
      </c>
      <c r="BF25">
        <v>72.512080209241503</v>
      </c>
      <c r="BG25">
        <f>15.8206501432308/1000</f>
        <v>1.5820650143230801E-2</v>
      </c>
      <c r="BH25">
        <f>0.84755262174617/1000</f>
        <v>8.4755262174616996E-4</v>
      </c>
      <c r="BI25" s="31">
        <f t="shared" si="9"/>
        <v>0</v>
      </c>
      <c r="BJ25" s="31">
        <f t="shared" si="10"/>
        <v>0</v>
      </c>
      <c r="BK25" s="31">
        <f t="shared" si="10"/>
        <v>0</v>
      </c>
      <c r="BL25" s="31">
        <f t="shared" si="10"/>
        <v>0</v>
      </c>
      <c r="BN25" s="31">
        <f t="shared" si="11"/>
        <v>0</v>
      </c>
      <c r="BO25" s="31">
        <f>BN25*$BO$27/$BN$27</f>
        <v>0</v>
      </c>
      <c r="BP25">
        <v>2.34</v>
      </c>
      <c r="BQ25">
        <f t="shared" si="13"/>
        <v>0</v>
      </c>
      <c r="BR25">
        <f t="shared" si="14"/>
        <v>0</v>
      </c>
    </row>
    <row r="26" spans="1:71" x14ac:dyDescent="0.6">
      <c r="A26" s="1081"/>
      <c r="B26" s="148" t="s">
        <v>314</v>
      </c>
      <c r="C26" s="149">
        <v>39411</v>
      </c>
      <c r="D26" s="150">
        <v>41522</v>
      </c>
      <c r="E26" s="151">
        <v>40763</v>
      </c>
      <c r="F26" s="152">
        <v>121696</v>
      </c>
      <c r="G26" s="153">
        <v>716213</v>
      </c>
      <c r="H26" s="1127"/>
      <c r="I26" s="181">
        <v>8.6762899262899269E-3</v>
      </c>
      <c r="J26" s="182">
        <v>9.4598945048413857E-3</v>
      </c>
      <c r="K26" s="183">
        <v>7.5673527512378769E-3</v>
      </c>
      <c r="L26" s="184">
        <v>7.5673527512378769E-3</v>
      </c>
      <c r="M26" s="185">
        <v>3.7060434854939039E-2</v>
      </c>
      <c r="X26" s="32">
        <f>SUM(X20:X25)</f>
        <v>314790</v>
      </c>
      <c r="AG26">
        <f>SUM(AG20:AG25)</f>
        <v>257033</v>
      </c>
      <c r="AO26" s="31">
        <f>SUM(AN20:AN25)</f>
        <v>4215.6355798000004</v>
      </c>
      <c r="AQ26" s="121">
        <f t="shared" si="4"/>
        <v>0</v>
      </c>
    </row>
    <row r="27" spans="1:71" x14ac:dyDescent="0.6">
      <c r="A27" s="1081"/>
      <c r="B27" s="148" t="s">
        <v>316</v>
      </c>
      <c r="C27" s="149">
        <v>35789</v>
      </c>
      <c r="D27" s="150">
        <v>39723</v>
      </c>
      <c r="E27" s="151">
        <v>39963</v>
      </c>
      <c r="F27" s="152">
        <v>115475</v>
      </c>
      <c r="G27" s="153">
        <v>831688</v>
      </c>
      <c r="H27" s="1127"/>
      <c r="I27" s="181">
        <v>3.4573468620819239E-2</v>
      </c>
      <c r="J27" s="182">
        <v>3.1016315666585661E-2</v>
      </c>
      <c r="K27" s="183">
        <v>2.9310196741624051E-2</v>
      </c>
      <c r="L27" s="184">
        <v>2.9310196741624051E-2</v>
      </c>
      <c r="M27" s="185">
        <v>3.5977389651791203E-2</v>
      </c>
      <c r="W27" t="str">
        <f t="shared" ref="W27:W32" si="22">W20</f>
        <v>Fólksbifreiðar</v>
      </c>
      <c r="X27" s="32">
        <f t="shared" ref="X27:Y32" si="23">X20-(X6+X13)</f>
        <v>18978</v>
      </c>
      <c r="Y27" s="32">
        <f t="shared" si="23"/>
        <v>2842</v>
      </c>
      <c r="Z27" s="32"/>
      <c r="AA27" s="121">
        <f t="shared" ref="AA27:AA32" si="24">X27/X20</f>
        <v>7.0334476049291203E-2</v>
      </c>
      <c r="AB27" s="32"/>
      <c r="AN27" s="31">
        <f>AA6*X27*365/1000000</f>
        <v>213.69702450000003</v>
      </c>
      <c r="AO27" s="123">
        <f>AN27/$AO$26</f>
        <v>5.0691531669380757E-2</v>
      </c>
      <c r="AQ27" s="121">
        <f t="shared" si="4"/>
        <v>5.0691531669380757E-2</v>
      </c>
      <c r="BI27" s="31">
        <f>SUM(BI8:BI25)</f>
        <v>3844.3655059842672</v>
      </c>
      <c r="BJ27" s="31">
        <f>SUM(BJ8:BJ25)</f>
        <v>280702.78578585153</v>
      </c>
      <c r="BK27" s="31">
        <f>SUM(BK8:BK25)</f>
        <v>13.622246321507179</v>
      </c>
      <c r="BL27" s="31">
        <f>SUM(BL8:BL25)</f>
        <v>7.1007704653415509</v>
      </c>
      <c r="BN27" s="31">
        <f>BJ27+BK27*BM4+BL27*BN4</f>
        <v>282965.91285616922</v>
      </c>
      <c r="BO27">
        <v>283018</v>
      </c>
      <c r="BQ27" s="31">
        <f>SUM(BQ8:BQ25)</f>
        <v>277278934.63097608</v>
      </c>
      <c r="BR27" s="31">
        <f>SUM(BR8:BR25)</f>
        <v>277278.93463097617</v>
      </c>
    </row>
    <row r="28" spans="1:71" x14ac:dyDescent="0.6">
      <c r="A28" s="1081"/>
      <c r="B28" s="148" t="s">
        <v>319</v>
      </c>
      <c r="C28" s="149">
        <v>38871</v>
      </c>
      <c r="D28" s="150">
        <v>40298.173510925189</v>
      </c>
      <c r="E28" s="151">
        <v>40485</v>
      </c>
      <c r="F28" s="152">
        <v>119654.17351092519</v>
      </c>
      <c r="G28" s="153">
        <v>951342.17351092515</v>
      </c>
      <c r="H28" s="1127"/>
      <c r="I28" s="181">
        <v>7.9085204584348912E-3</v>
      </c>
      <c r="J28" s="182">
        <v>2.6505455704659498E-2</v>
      </c>
      <c r="K28" s="183">
        <v>9.5811009062556352E-3</v>
      </c>
      <c r="L28" s="184">
        <v>9.5811009062556352E-3</v>
      </c>
      <c r="M28" s="185">
        <v>3.2581784222394994E-2</v>
      </c>
      <c r="W28" t="str">
        <f t="shared" si="22"/>
        <v>Hópbifreiðar ≤5t</v>
      </c>
      <c r="X28" s="32">
        <f t="shared" si="23"/>
        <v>-12</v>
      </c>
      <c r="Y28" s="32">
        <f t="shared" si="23"/>
        <v>0</v>
      </c>
      <c r="Z28" s="32"/>
      <c r="AA28" s="121">
        <f t="shared" si="24"/>
        <v>-8.658008658008658E-3</v>
      </c>
      <c r="AB28" s="32"/>
      <c r="AN28" s="93">
        <v>0</v>
      </c>
      <c r="AO28" s="123">
        <f>AN28/$AO$26</f>
        <v>0</v>
      </c>
      <c r="AQ28" s="191">
        <f>AN28/$AO$26</f>
        <v>0</v>
      </c>
      <c r="BO28" s="31">
        <f>SUM(BO8:BO25)</f>
        <v>283018.00000000006</v>
      </c>
    </row>
    <row r="29" spans="1:71" x14ac:dyDescent="0.6">
      <c r="A29" s="1081"/>
      <c r="B29" s="148" t="s">
        <v>321</v>
      </c>
      <c r="C29" s="149">
        <v>42702.306473651028</v>
      </c>
      <c r="D29" s="150">
        <v>41641</v>
      </c>
      <c r="E29" s="151">
        <v>41129</v>
      </c>
      <c r="F29" s="152">
        <v>125472.30647365103</v>
      </c>
      <c r="G29" s="153">
        <v>1076814.4799845761</v>
      </c>
      <c r="H29" s="1127"/>
      <c r="I29" s="181">
        <v>3.5107055646750082E-2</v>
      </c>
      <c r="J29" s="182">
        <v>5.5835087539148738E-2</v>
      </c>
      <c r="K29" s="183">
        <v>3.3612647239118054E-2</v>
      </c>
      <c r="L29" s="184">
        <v>3.3612647239118054E-2</v>
      </c>
      <c r="M29" s="185">
        <v>3.2701796332402111E-2</v>
      </c>
      <c r="W29" t="str">
        <f t="shared" si="22"/>
        <v>Hópbifreiðar &gt;5t</v>
      </c>
      <c r="X29" s="32">
        <f t="shared" si="23"/>
        <v>21</v>
      </c>
      <c r="Y29" s="32">
        <f t="shared" si="23"/>
        <v>1</v>
      </c>
      <c r="Z29" s="32"/>
      <c r="AA29" s="121">
        <f t="shared" si="24"/>
        <v>1.171875E-2</v>
      </c>
      <c r="AB29" s="32"/>
      <c r="AN29" s="31">
        <f>AA8*X29*365/1000000</f>
        <v>0.61396649999999997</v>
      </c>
      <c r="AQ29" s="121">
        <f t="shared" si="4"/>
        <v>1.4564031647847702E-4</v>
      </c>
    </row>
    <row r="30" spans="1:71" x14ac:dyDescent="0.6">
      <c r="A30" s="1081"/>
      <c r="B30" s="148" t="s">
        <v>323</v>
      </c>
      <c r="C30" s="149">
        <v>43343.136815972022</v>
      </c>
      <c r="D30" s="150">
        <v>42356</v>
      </c>
      <c r="E30" s="151">
        <v>40267</v>
      </c>
      <c r="F30" s="152">
        <v>125966.13681597202</v>
      </c>
      <c r="G30" s="153">
        <v>1202780.616800548</v>
      </c>
      <c r="H30" s="1127"/>
      <c r="I30" s="181">
        <v>9.8573954883459783E-2</v>
      </c>
      <c r="J30" s="182">
        <v>8.2009942227596402E-2</v>
      </c>
      <c r="K30" s="183">
        <v>8.522267532756711E-2</v>
      </c>
      <c r="L30" s="184">
        <v>8.522267532756711E-2</v>
      </c>
      <c r="M30" s="185">
        <v>3.7962723298757828E-2</v>
      </c>
      <c r="W30" t="str">
        <f t="shared" si="22"/>
        <v>Sendibifreiðar</v>
      </c>
      <c r="X30" s="32">
        <f t="shared" si="23"/>
        <v>448</v>
      </c>
      <c r="Y30" s="32">
        <f t="shared" si="23"/>
        <v>139</v>
      </c>
      <c r="Z30" s="32"/>
      <c r="AA30" s="121">
        <f t="shared" si="24"/>
        <v>1.5480839006185425E-2</v>
      </c>
      <c r="AB30" s="32"/>
      <c r="AN30" s="31">
        <f>AA9*X30*365/1000000</f>
        <v>4.7698784000000005</v>
      </c>
      <c r="AQ30" s="121">
        <f t="shared" si="4"/>
        <v>1.1314731336967924E-3</v>
      </c>
    </row>
    <row r="31" spans="1:71" x14ac:dyDescent="0.6">
      <c r="A31" s="1081"/>
      <c r="B31" s="192" t="s">
        <v>326</v>
      </c>
      <c r="C31" s="149">
        <v>43214</v>
      </c>
      <c r="D31" s="150">
        <v>41768</v>
      </c>
      <c r="E31" s="151">
        <v>38748.857885665217</v>
      </c>
      <c r="F31" s="152">
        <v>123730.85788566522</v>
      </c>
      <c r="G31" s="153">
        <v>1326511.4746862133</v>
      </c>
      <c r="H31" s="1127"/>
      <c r="I31" s="181">
        <v>8.9996468748423541E-2</v>
      </c>
      <c r="J31" s="182">
        <v>4.4415457417999959E-2</v>
      </c>
      <c r="K31" s="183">
        <v>5.0364674151218258E-2</v>
      </c>
      <c r="L31" s="184">
        <v>5.0364674151218258E-2</v>
      </c>
      <c r="M31" s="185">
        <v>3.9107121675610257E-2</v>
      </c>
      <c r="W31" t="str">
        <f t="shared" si="22"/>
        <v>Vörubifreiðar ≤12t</v>
      </c>
      <c r="X31" s="32">
        <f t="shared" si="23"/>
        <v>2</v>
      </c>
      <c r="Y31" s="32">
        <f t="shared" si="23"/>
        <v>0</v>
      </c>
      <c r="Z31" s="32"/>
      <c r="AA31" s="121">
        <f t="shared" si="24"/>
        <v>3.3973161202649905E-4</v>
      </c>
      <c r="AB31" s="32"/>
      <c r="AN31" s="31">
        <f>AA10*X31*365/1000000</f>
        <v>1.6045400000000001E-2</v>
      </c>
      <c r="AQ31" s="121">
        <f>AN31/$AO$26</f>
        <v>3.8061639096331075E-6</v>
      </c>
    </row>
    <row r="32" spans="1:71" ht="16.75" thickBot="1" x14ac:dyDescent="0.75">
      <c r="A32" s="1126"/>
      <c r="B32" s="193" t="s">
        <v>327</v>
      </c>
      <c r="C32" s="164">
        <v>42532</v>
      </c>
      <c r="D32" s="165">
        <v>42771</v>
      </c>
      <c r="E32" s="166">
        <v>38934</v>
      </c>
      <c r="F32" s="167">
        <v>124237</v>
      </c>
      <c r="G32" s="153">
        <v>1450748.4746862133</v>
      </c>
      <c r="H32" s="1127"/>
      <c r="I32" s="194">
        <v>5.8536585365853662E-2</v>
      </c>
      <c r="J32" s="195">
        <v>5.7989130434782606E-2</v>
      </c>
      <c r="K32" s="196">
        <v>3.7686364585508558E-2</v>
      </c>
      <c r="L32" s="197">
        <v>3.7686364585508558E-2</v>
      </c>
      <c r="M32" s="198">
        <v>3.8985300732207406E-2</v>
      </c>
      <c r="W32" t="str">
        <f t="shared" si="22"/>
        <v>Vörubifreiðar &gt;12t</v>
      </c>
      <c r="X32" s="32">
        <f t="shared" si="23"/>
        <v>29</v>
      </c>
      <c r="Y32" s="32">
        <f t="shared" si="23"/>
        <v>7</v>
      </c>
      <c r="Z32" s="32"/>
      <c r="AA32" s="121">
        <f t="shared" si="24"/>
        <v>4.1660680936647029E-3</v>
      </c>
      <c r="AB32" s="32"/>
      <c r="AN32" s="31">
        <f>AA11*X32*365/1000000</f>
        <v>0</v>
      </c>
      <c r="AQ32" s="121">
        <f t="shared" si="4"/>
        <v>0</v>
      </c>
      <c r="BM32" s="199">
        <v>97745.141340000002</v>
      </c>
      <c r="BO32" s="31">
        <f>BN8+BN10+BN11+BN13</f>
        <v>97739.668974934233</v>
      </c>
      <c r="BS32">
        <v>96894</v>
      </c>
    </row>
    <row r="33" spans="1:71" ht="16.75" thickBot="1" x14ac:dyDescent="0.75">
      <c r="A33" s="200" t="s">
        <v>329</v>
      </c>
      <c r="B33" s="201"/>
      <c r="C33" s="170">
        <v>40643.286940801925</v>
      </c>
      <c r="D33" s="170">
        <v>41092.764459243765</v>
      </c>
      <c r="E33" s="170">
        <v>39159.654823805431</v>
      </c>
      <c r="F33" s="171">
        <v>120895.70622385111</v>
      </c>
      <c r="G33" s="171"/>
      <c r="H33" s="1128"/>
      <c r="I33" s="202">
        <v>3.8034271765940542E-2</v>
      </c>
      <c r="J33" s="202">
        <v>3.4128618819366574E-2</v>
      </c>
      <c r="K33" s="203">
        <v>4.5129755541558403E-2</v>
      </c>
      <c r="L33" s="204"/>
      <c r="M33" s="203">
        <v>3.8985300732207406E-2</v>
      </c>
      <c r="X33" s="32"/>
      <c r="Y33" s="32"/>
      <c r="Z33" s="32"/>
      <c r="AA33" s="32"/>
      <c r="AB33" s="32"/>
      <c r="BM33" s="199">
        <v>72042.283264651443</v>
      </c>
      <c r="BO33" s="31">
        <f>BN9+BN12</f>
        <v>72063.196035628571</v>
      </c>
      <c r="BS33">
        <v>98163</v>
      </c>
    </row>
    <row r="34" spans="1:71" ht="16" x14ac:dyDescent="0.65">
      <c r="A34" s="1081">
        <v>2007</v>
      </c>
      <c r="B34" s="175" t="s">
        <v>295</v>
      </c>
      <c r="C34" s="138">
        <v>40666</v>
      </c>
      <c r="D34" s="139">
        <v>39409</v>
      </c>
      <c r="E34" s="140">
        <v>37899</v>
      </c>
      <c r="F34" s="141">
        <v>117974</v>
      </c>
      <c r="G34" s="142">
        <v>117974</v>
      </c>
      <c r="H34" s="1120" t="s">
        <v>333</v>
      </c>
      <c r="I34" s="176">
        <v>7.0467766985179925E-2</v>
      </c>
      <c r="J34" s="177">
        <v>9.2757049766449454E-2</v>
      </c>
      <c r="K34" s="178">
        <v>6.1795730280447936E-2</v>
      </c>
      <c r="L34" s="179">
        <v>6.1795730280447936E-2</v>
      </c>
      <c r="M34" s="180">
        <v>6.1795730280447936E-2</v>
      </c>
      <c r="W34" s="205" t="s">
        <v>140</v>
      </c>
      <c r="X34" s="32"/>
      <c r="Y34" s="32"/>
      <c r="Z34" s="32"/>
      <c r="AA34" s="32"/>
      <c r="AB34" s="32"/>
      <c r="AQ34" s="147">
        <f>SUM(AQ6:AQ18)+SUM(AQ27:AQ32)</f>
        <v>1.0002539852484238</v>
      </c>
      <c r="AS34" s="147">
        <f>SUM(AQ20:AQ25)</f>
        <v>0.99999999999999989</v>
      </c>
      <c r="BM34" s="199">
        <v>4818.8989200000015</v>
      </c>
      <c r="BO34" s="31">
        <f>BN14+BN16+BN20+BN22</f>
        <v>4787.2495942268943</v>
      </c>
      <c r="BS34">
        <v>9004</v>
      </c>
    </row>
    <row r="35" spans="1:71" ht="16" x14ac:dyDescent="0.6">
      <c r="A35" s="1081"/>
      <c r="B35" s="148" t="s">
        <v>299</v>
      </c>
      <c r="C35" s="149">
        <v>42636</v>
      </c>
      <c r="D35" s="150">
        <v>41580</v>
      </c>
      <c r="E35" s="151">
        <v>40896</v>
      </c>
      <c r="F35" s="152">
        <v>125112</v>
      </c>
      <c r="G35" s="153">
        <v>243086</v>
      </c>
      <c r="H35" s="1121"/>
      <c r="I35" s="181">
        <v>4.2266604737575479E-2</v>
      </c>
      <c r="J35" s="182">
        <v>9.0530919175488653E-2</v>
      </c>
      <c r="K35" s="183">
        <v>5.0663845010455288E-2</v>
      </c>
      <c r="L35" s="184">
        <v>5.0663845010455288E-2</v>
      </c>
      <c r="M35" s="185">
        <v>5.6037048139121692E-2</v>
      </c>
      <c r="X35" s="32"/>
      <c r="Y35" s="32"/>
      <c r="Z35" s="32"/>
      <c r="AA35" s="32"/>
      <c r="AB35" s="32"/>
      <c r="BM35" s="199">
        <v>32678.350765468364</v>
      </c>
      <c r="BO35" s="31">
        <f>BN15+BN21</f>
        <v>32674.383548207588</v>
      </c>
      <c r="BS35">
        <v>9</v>
      </c>
    </row>
    <row r="36" spans="1:71" ht="16" x14ac:dyDescent="0.6">
      <c r="A36" s="1081"/>
      <c r="B36" s="148" t="s">
        <v>303</v>
      </c>
      <c r="C36" s="149">
        <v>44711</v>
      </c>
      <c r="D36" s="150">
        <v>43720</v>
      </c>
      <c r="E36" s="151">
        <v>42527</v>
      </c>
      <c r="F36" s="152">
        <v>130958</v>
      </c>
      <c r="G36" s="153">
        <v>374044</v>
      </c>
      <c r="H36" s="1121"/>
      <c r="I36" s="181">
        <v>5.0787309048178617E-2</v>
      </c>
      <c r="J36" s="182">
        <v>8.8008800880088014E-2</v>
      </c>
      <c r="K36" s="183">
        <v>6.0551825786963276E-2</v>
      </c>
      <c r="L36" s="184">
        <v>6.0551825786963276E-2</v>
      </c>
      <c r="M36" s="185">
        <v>5.7613354897813718E-2</v>
      </c>
      <c r="X36" s="32"/>
      <c r="Y36" s="32"/>
      <c r="Z36" s="32"/>
      <c r="AA36" s="32"/>
      <c r="AB36" s="32"/>
      <c r="BM36" s="199">
        <v>1536.7751583397605</v>
      </c>
      <c r="BO36" s="31">
        <f>BN17+BN19+BN23+BN25</f>
        <v>1507.2531194980559</v>
      </c>
      <c r="BS36">
        <v>2482</v>
      </c>
    </row>
    <row r="37" spans="1:71" ht="16" x14ac:dyDescent="0.6">
      <c r="A37" s="1081"/>
      <c r="B37" s="148" t="s">
        <v>306</v>
      </c>
      <c r="C37" s="149">
        <v>41126</v>
      </c>
      <c r="D37" s="150">
        <v>42156</v>
      </c>
      <c r="E37" s="151">
        <v>42383</v>
      </c>
      <c r="F37" s="152">
        <v>125665</v>
      </c>
      <c r="G37" s="153">
        <v>499709</v>
      </c>
      <c r="H37" s="1121"/>
      <c r="I37" s="181">
        <v>7.1352280720035424E-2</v>
      </c>
      <c r="J37" s="182">
        <v>0.1281375602225239</v>
      </c>
      <c r="K37" s="183">
        <v>8.7773209262064444E-2</v>
      </c>
      <c r="L37" s="184">
        <v>8.7773209262064444E-2</v>
      </c>
      <c r="M37" s="185">
        <v>6.5039333493892793E-2</v>
      </c>
      <c r="X37" s="32"/>
      <c r="Y37" s="32"/>
      <c r="Z37" s="32"/>
      <c r="AA37" s="32"/>
      <c r="AB37" s="32"/>
      <c r="BM37" s="199">
        <v>74199.074003842441</v>
      </c>
      <c r="BO37" s="31">
        <f>BN24+BN18</f>
        <v>74194.161583673937</v>
      </c>
      <c r="BS37">
        <v>0</v>
      </c>
    </row>
    <row r="38" spans="1:71" x14ac:dyDescent="0.6">
      <c r="A38" s="1081"/>
      <c r="B38" s="148" t="s">
        <v>310</v>
      </c>
      <c r="C38" s="149">
        <v>43780</v>
      </c>
      <c r="D38" s="150">
        <v>44517</v>
      </c>
      <c r="E38" s="151">
        <v>45850</v>
      </c>
      <c r="F38" s="152">
        <v>134147</v>
      </c>
      <c r="G38" s="153">
        <v>633856</v>
      </c>
      <c r="H38" s="1121"/>
      <c r="I38" s="181">
        <v>4.1785646297353894E-2</v>
      </c>
      <c r="J38" s="182">
        <v>0.12413268933728884</v>
      </c>
      <c r="K38" s="183">
        <v>7.0401519262072609E-2</v>
      </c>
      <c r="L38" s="184">
        <v>7.0401519262072609E-2</v>
      </c>
      <c r="M38" s="185">
        <v>6.6169680597863545E-2</v>
      </c>
      <c r="X38" s="32"/>
      <c r="Y38" s="32"/>
      <c r="Z38" s="32"/>
      <c r="AA38" s="32"/>
      <c r="AB38" s="32"/>
      <c r="BS38">
        <v>3521</v>
      </c>
    </row>
    <row r="39" spans="1:71" x14ac:dyDescent="0.6">
      <c r="A39" s="1081"/>
      <c r="B39" s="148" t="s">
        <v>314</v>
      </c>
      <c r="C39" s="149">
        <v>42691</v>
      </c>
      <c r="D39" s="150">
        <v>44919</v>
      </c>
      <c r="E39" s="151">
        <v>47313</v>
      </c>
      <c r="F39" s="152">
        <v>134923</v>
      </c>
      <c r="G39" s="153">
        <v>768779</v>
      </c>
      <c r="H39" s="1121"/>
      <c r="I39" s="181">
        <v>8.3225495420060386E-2</v>
      </c>
      <c r="J39" s="182">
        <v>0.16068493486740426</v>
      </c>
      <c r="K39" s="183">
        <v>0.10868886405469369</v>
      </c>
      <c r="L39" s="184">
        <v>0.10868886405469369</v>
      </c>
      <c r="M39" s="185">
        <v>7.3394367318102338E-2</v>
      </c>
      <c r="BS39">
        <v>22235</v>
      </c>
    </row>
    <row r="40" spans="1:71" x14ac:dyDescent="0.6">
      <c r="A40" s="1081"/>
      <c r="B40" s="148" t="s">
        <v>316</v>
      </c>
      <c r="C40" s="149">
        <v>39540</v>
      </c>
      <c r="D40" s="150">
        <v>44232.379760577489</v>
      </c>
      <c r="E40" s="151">
        <v>46367</v>
      </c>
      <c r="F40" s="152">
        <v>130139.37976057749</v>
      </c>
      <c r="G40" s="153">
        <v>898918.37976057746</v>
      </c>
      <c r="H40" s="1121"/>
      <c r="I40" s="181">
        <v>0.10480874011567801</v>
      </c>
      <c r="J40" s="182">
        <v>0.16024822961239146</v>
      </c>
      <c r="K40" s="183">
        <v>0.1269918143371076</v>
      </c>
      <c r="L40" s="184">
        <v>0.1269918143371076</v>
      </c>
      <c r="M40" s="185">
        <v>8.083605842645003E-2</v>
      </c>
      <c r="BM40" s="31">
        <f>SUM(BM32:BM37)</f>
        <v>283020.52345230203</v>
      </c>
      <c r="BS40">
        <v>201</v>
      </c>
    </row>
    <row r="41" spans="1:71" x14ac:dyDescent="0.6">
      <c r="A41" s="1081"/>
      <c r="B41" s="148" t="s">
        <v>319</v>
      </c>
      <c r="C41" s="149">
        <v>43072</v>
      </c>
      <c r="D41" s="150">
        <v>45828</v>
      </c>
      <c r="E41" s="151">
        <v>46593</v>
      </c>
      <c r="F41" s="152">
        <v>135493</v>
      </c>
      <c r="G41" s="153">
        <v>1034411.3797605775</v>
      </c>
      <c r="H41" s="1121"/>
      <c r="I41" s="181">
        <v>0.10807542898304649</v>
      </c>
      <c r="J41" s="182">
        <v>0.1508706928492034</v>
      </c>
      <c r="K41" s="183">
        <v>0.13237170108093732</v>
      </c>
      <c r="L41" s="184">
        <v>0.13237170108093732</v>
      </c>
      <c r="M41" s="185">
        <v>8.7317905757384517E-2</v>
      </c>
      <c r="BD41" t="s">
        <v>298</v>
      </c>
      <c r="BE41" t="s">
        <v>264</v>
      </c>
      <c r="BF41">
        <v>70.9769741921898</v>
      </c>
      <c r="BG41">
        <v>7.3169105356480999E-3</v>
      </c>
      <c r="BH41">
        <v>6.0998104818480998E-4</v>
      </c>
      <c r="BS41">
        <v>20</v>
      </c>
    </row>
    <row r="42" spans="1:71" x14ac:dyDescent="0.6">
      <c r="A42" s="1081"/>
      <c r="B42" s="148" t="s">
        <v>321</v>
      </c>
      <c r="C42" s="149">
        <v>44536</v>
      </c>
      <c r="D42" s="150">
        <v>46730</v>
      </c>
      <c r="E42" s="151">
        <v>46157</v>
      </c>
      <c r="F42" s="152">
        <v>137423</v>
      </c>
      <c r="G42" s="153">
        <v>1171834.3797605773</v>
      </c>
      <c r="H42" s="1121"/>
      <c r="I42" s="181">
        <v>4.2941322794365501E-2</v>
      </c>
      <c r="J42" s="182">
        <v>0.12224950764667267</v>
      </c>
      <c r="K42" s="183">
        <v>9.5245667049713489E-2</v>
      </c>
      <c r="L42" s="184">
        <v>9.5245667049713489E-2</v>
      </c>
      <c r="M42" s="185">
        <v>8.8241662368212515E-2</v>
      </c>
      <c r="BE42" t="s">
        <v>302</v>
      </c>
      <c r="BF42">
        <v>74.054734089485606</v>
      </c>
      <c r="BG42">
        <v>1.1457692289250001E-4</v>
      </c>
      <c r="BH42">
        <v>2.5659043229536902E-3</v>
      </c>
      <c r="BS42">
        <v>11541</v>
      </c>
    </row>
    <row r="43" spans="1:71" ht="14.25" x14ac:dyDescent="0.65">
      <c r="A43" s="1081"/>
      <c r="B43" s="148" t="s">
        <v>323</v>
      </c>
      <c r="C43" s="149">
        <v>45561</v>
      </c>
      <c r="D43" s="150">
        <v>47695</v>
      </c>
      <c r="E43" s="151">
        <v>46533</v>
      </c>
      <c r="F43" s="152">
        <v>139789</v>
      </c>
      <c r="G43" s="153">
        <v>1311623.3797605773</v>
      </c>
      <c r="H43" s="1121"/>
      <c r="I43" s="181">
        <v>5.1169881714945263E-2</v>
      </c>
      <c r="J43" s="182">
        <v>0.15561129460848835</v>
      </c>
      <c r="K43" s="183">
        <v>0.10973475517648246</v>
      </c>
      <c r="L43" s="184">
        <v>0.10973475517648246</v>
      </c>
      <c r="M43" s="185">
        <v>9.0492614729322796E-2</v>
      </c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BE43" t="s">
        <v>334</v>
      </c>
      <c r="BF43">
        <v>70.9769741921898</v>
      </c>
      <c r="BG43">
        <v>7.3169105356480999E-3</v>
      </c>
      <c r="BH43">
        <v>6.0998104818480998E-4</v>
      </c>
      <c r="BS43">
        <v>26</v>
      </c>
    </row>
    <row r="44" spans="1:71" ht="14.25" x14ac:dyDescent="0.65">
      <c r="A44" s="1081"/>
      <c r="B44" s="192" t="s">
        <v>326</v>
      </c>
      <c r="C44" s="149">
        <v>45586</v>
      </c>
      <c r="D44" s="150">
        <v>48466</v>
      </c>
      <c r="E44" s="151">
        <v>45560</v>
      </c>
      <c r="F44" s="152">
        <v>139612</v>
      </c>
      <c r="G44" s="153">
        <v>1451235.3797605773</v>
      </c>
      <c r="H44" s="1121"/>
      <c r="I44" s="181">
        <v>5.4889619104919699E-2</v>
      </c>
      <c r="J44" s="182">
        <v>0.17577659022705036</v>
      </c>
      <c r="K44" s="183">
        <v>0.12835231554775062</v>
      </c>
      <c r="L44" s="184">
        <v>0.12835231554775062</v>
      </c>
      <c r="M44" s="185">
        <v>9.4023992595968719E-2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BE44" t="s">
        <v>335</v>
      </c>
      <c r="BF44">
        <v>70.9769741921898</v>
      </c>
      <c r="BG44">
        <v>7.3169105356480999E-3</v>
      </c>
      <c r="BH44">
        <v>6.0998104818480998E-4</v>
      </c>
      <c r="BS44">
        <v>593</v>
      </c>
    </row>
    <row r="45" spans="1:71" ht="15" thickBot="1" x14ac:dyDescent="0.8">
      <c r="A45" s="1129"/>
      <c r="B45" s="207" t="s">
        <v>327</v>
      </c>
      <c r="C45" s="164">
        <v>41950</v>
      </c>
      <c r="D45" s="165">
        <v>46794</v>
      </c>
      <c r="E45" s="166">
        <v>42143</v>
      </c>
      <c r="F45" s="167">
        <v>130887</v>
      </c>
      <c r="G45" s="153">
        <v>1582122.3797605773</v>
      </c>
      <c r="H45" s="1121"/>
      <c r="I45" s="208">
        <v>-1.3683814539640741E-2</v>
      </c>
      <c r="J45" s="209">
        <v>8.2421533877844552E-2</v>
      </c>
      <c r="K45" s="210">
        <v>5.3526727142477748E-2</v>
      </c>
      <c r="L45" s="197">
        <v>5.3526727142477748E-2</v>
      </c>
      <c r="M45" s="211">
        <v>9.0555949130175284E-2</v>
      </c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BE45" t="s">
        <v>336</v>
      </c>
      <c r="BF45">
        <v>70.9769741921898</v>
      </c>
      <c r="BG45">
        <v>7.3169105356480999E-3</v>
      </c>
      <c r="BH45">
        <v>6.0998104818480998E-4</v>
      </c>
      <c r="BS45">
        <v>10930</v>
      </c>
    </row>
    <row r="46" spans="1:71" ht="15" thickBot="1" x14ac:dyDescent="0.8">
      <c r="A46" s="200" t="s">
        <v>329</v>
      </c>
      <c r="B46" s="201"/>
      <c r="C46" s="170">
        <v>42987.916666666664</v>
      </c>
      <c r="D46" s="170">
        <v>44670.531646714786</v>
      </c>
      <c r="E46" s="170">
        <v>44185.083333333336</v>
      </c>
      <c r="F46" s="171">
        <v>131843.53164671478</v>
      </c>
      <c r="G46" s="171"/>
      <c r="H46" s="1122"/>
      <c r="I46" s="202">
        <v>5.768799480415443E-2</v>
      </c>
      <c r="J46" s="202">
        <v>8.7065624193268576E-2</v>
      </c>
      <c r="K46" s="203">
        <v>0.1283317877069976</v>
      </c>
      <c r="L46" s="204"/>
      <c r="M46" s="203">
        <v>9.0555949130175284E-2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BE46" t="s">
        <v>337</v>
      </c>
      <c r="BF46">
        <v>74.054734089485606</v>
      </c>
      <c r="BG46">
        <v>1.1457692289250001E-4</v>
      </c>
      <c r="BH46">
        <v>2.5659043229536902E-3</v>
      </c>
      <c r="BS46">
        <v>0</v>
      </c>
    </row>
    <row r="47" spans="1:71" ht="14.25" x14ac:dyDescent="0.65">
      <c r="A47" s="1080">
        <v>2008</v>
      </c>
      <c r="B47" s="137" t="s">
        <v>295</v>
      </c>
      <c r="C47" s="138">
        <v>42079</v>
      </c>
      <c r="D47" s="139">
        <v>43928</v>
      </c>
      <c r="E47" s="140">
        <v>41438</v>
      </c>
      <c r="F47" s="141">
        <v>127445</v>
      </c>
      <c r="G47" s="142">
        <v>127445</v>
      </c>
      <c r="H47" s="1120" t="s">
        <v>338</v>
      </c>
      <c r="I47" s="176">
        <v>3.4746471253627106E-2</v>
      </c>
      <c r="J47" s="177">
        <v>9.337977255336552E-2</v>
      </c>
      <c r="K47" s="178">
        <v>8.0280400766270521E-2</v>
      </c>
      <c r="L47" s="179">
        <v>8.0280400766270521E-2</v>
      </c>
      <c r="M47" s="180">
        <v>8.0280400766270521E-2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BE47" t="s">
        <v>339</v>
      </c>
      <c r="BF47">
        <v>74.054734089485606</v>
      </c>
      <c r="BG47">
        <v>1.1457692289250001E-4</v>
      </c>
      <c r="BH47">
        <v>2.5659043229536902E-3</v>
      </c>
      <c r="BS47">
        <v>595</v>
      </c>
    </row>
    <row r="48" spans="1:71" ht="14.25" x14ac:dyDescent="0.65">
      <c r="A48" s="1081"/>
      <c r="B48" s="148" t="s">
        <v>299</v>
      </c>
      <c r="C48" s="149">
        <v>42211</v>
      </c>
      <c r="D48" s="150">
        <v>45714</v>
      </c>
      <c r="E48" s="151">
        <v>43597</v>
      </c>
      <c r="F48" s="152">
        <v>131522</v>
      </c>
      <c r="G48" s="153">
        <v>258967</v>
      </c>
      <c r="H48" s="1121"/>
      <c r="I48" s="181">
        <v>-9.9681020733652318E-3</v>
      </c>
      <c r="J48" s="182">
        <v>6.6045579029733958E-2</v>
      </c>
      <c r="K48" s="183">
        <v>5.1234094251550566E-2</v>
      </c>
      <c r="L48" s="184">
        <v>5.1234094251550566E-2</v>
      </c>
      <c r="M48" s="185">
        <v>6.5330788280690832E-2</v>
      </c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BE48" t="s">
        <v>340</v>
      </c>
      <c r="BF48">
        <v>70.9769741921898</v>
      </c>
      <c r="BG48">
        <v>7.3169105356480999E-3</v>
      </c>
      <c r="BH48">
        <v>6.0998104818480998E-4</v>
      </c>
      <c r="BS48">
        <v>24042</v>
      </c>
    </row>
    <row r="49" spans="1:71" ht="14.25" x14ac:dyDescent="0.65">
      <c r="A49" s="1081"/>
      <c r="B49" s="148" t="s">
        <v>303</v>
      </c>
      <c r="C49" s="149">
        <v>42884.551201761278</v>
      </c>
      <c r="D49" s="150">
        <v>44927</v>
      </c>
      <c r="E49" s="151">
        <v>43751</v>
      </c>
      <c r="F49" s="152">
        <v>131562.55120176129</v>
      </c>
      <c r="G49" s="153">
        <v>390529.55120176129</v>
      </c>
      <c r="H49" s="1121"/>
      <c r="I49" s="181">
        <v>-4.0850099488687834E-2</v>
      </c>
      <c r="J49" s="182">
        <v>2.8781715145672161E-2</v>
      </c>
      <c r="K49" s="183">
        <v>4.6163747290068891E-3</v>
      </c>
      <c r="L49" s="184">
        <v>4.6163747290068891E-3</v>
      </c>
      <c r="M49" s="185">
        <v>4.4073828752128952E-2</v>
      </c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BD49" t="s">
        <v>309</v>
      </c>
      <c r="BE49" t="s">
        <v>264</v>
      </c>
      <c r="BF49">
        <v>71.051977446800905</v>
      </c>
      <c r="BG49">
        <v>6.0214126798913805E-3</v>
      </c>
      <c r="BH49">
        <v>1.2119593011540399E-3</v>
      </c>
      <c r="BS49">
        <v>0</v>
      </c>
    </row>
    <row r="50" spans="1:71" ht="14.25" x14ac:dyDescent="0.65">
      <c r="A50" s="1081"/>
      <c r="B50" s="148" t="s">
        <v>306</v>
      </c>
      <c r="C50" s="149">
        <v>45303</v>
      </c>
      <c r="D50" s="150">
        <v>48229</v>
      </c>
      <c r="E50" s="151">
        <v>47282</v>
      </c>
      <c r="F50" s="152">
        <v>140814</v>
      </c>
      <c r="G50" s="153">
        <v>531343.55120176123</v>
      </c>
      <c r="H50" s="1121"/>
      <c r="I50" s="181">
        <v>0.10156591936974177</v>
      </c>
      <c r="J50" s="182">
        <v>0.11558879739518203</v>
      </c>
      <c r="K50" s="183">
        <v>0.12055067043329482</v>
      </c>
      <c r="L50" s="184">
        <v>0.12055067043329482</v>
      </c>
      <c r="M50" s="185">
        <v>6.3305946464364826E-2</v>
      </c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BE50" t="s">
        <v>302</v>
      </c>
      <c r="BF50">
        <v>74.054734089485805</v>
      </c>
      <c r="BG50">
        <v>1.0094332347649E-4</v>
      </c>
      <c r="BH50">
        <v>2.0471581355555601E-3</v>
      </c>
      <c r="BS50">
        <f>SUM(BS32:BS49)</f>
        <v>280256</v>
      </c>
    </row>
    <row r="51" spans="1:71" ht="14.25" x14ac:dyDescent="0.65">
      <c r="A51" s="1081"/>
      <c r="B51" s="148" t="s">
        <v>310</v>
      </c>
      <c r="C51" s="149">
        <v>43400</v>
      </c>
      <c r="D51" s="150">
        <v>48148.221902515186</v>
      </c>
      <c r="E51" s="151">
        <v>47334</v>
      </c>
      <c r="F51" s="152">
        <v>138882.22190251519</v>
      </c>
      <c r="G51" s="153">
        <v>670225.77310427639</v>
      </c>
      <c r="H51" s="1121"/>
      <c r="I51" s="181">
        <v>-8.6797624486066698E-3</v>
      </c>
      <c r="J51" s="182">
        <v>3.236641221374046E-2</v>
      </c>
      <c r="K51" s="183">
        <v>3.5298753624868118E-2</v>
      </c>
      <c r="L51" s="184">
        <v>3.5298753624868118E-2</v>
      </c>
      <c r="M51" s="185">
        <v>5.7378605084240641E-2</v>
      </c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BE51" t="s">
        <v>17</v>
      </c>
      <c r="BF51">
        <v>71.051977446800905</v>
      </c>
      <c r="BG51">
        <v>6.0214126798913805E-3</v>
      </c>
      <c r="BH51">
        <v>1.2119593011540399E-3</v>
      </c>
    </row>
    <row r="52" spans="1:71" ht="14.25" x14ac:dyDescent="0.65">
      <c r="A52" s="1081"/>
      <c r="B52" s="148" t="s">
        <v>314</v>
      </c>
      <c r="C52" s="149">
        <v>40402</v>
      </c>
      <c r="D52" s="150">
        <v>45572.666795350764</v>
      </c>
      <c r="E52" s="151">
        <v>47040</v>
      </c>
      <c r="F52" s="152">
        <v>133014.66679535076</v>
      </c>
      <c r="G52" s="153">
        <v>803240.43989962712</v>
      </c>
      <c r="H52" s="1121"/>
      <c r="I52" s="181">
        <v>-5.3617858565037126E-2</v>
      </c>
      <c r="J52" s="182">
        <v>-5.770084332001775E-3</v>
      </c>
      <c r="K52" s="183">
        <v>-1.4143868759583178E-2</v>
      </c>
      <c r="L52" s="184">
        <v>-1.4143868759583178E-2</v>
      </c>
      <c r="M52" s="185">
        <v>4.4826198295774278E-2</v>
      </c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BD52" t="s">
        <v>318</v>
      </c>
      <c r="BE52" t="s">
        <v>264</v>
      </c>
      <c r="BF52">
        <v>71.051977446800905</v>
      </c>
      <c r="BG52">
        <v>6.0214126798913805E-3</v>
      </c>
      <c r="BH52">
        <v>1.2119593011540399E-3</v>
      </c>
    </row>
    <row r="53" spans="1:71" ht="14.25" x14ac:dyDescent="0.65">
      <c r="A53" s="1081"/>
      <c r="B53" s="148" t="s">
        <v>316</v>
      </c>
      <c r="C53" s="149">
        <v>37788</v>
      </c>
      <c r="D53" s="150">
        <v>45431</v>
      </c>
      <c r="E53" s="151">
        <v>46196.383537711605</v>
      </c>
      <c r="F53" s="152">
        <v>129415.3835377116</v>
      </c>
      <c r="G53" s="153">
        <v>932655.82343733869</v>
      </c>
      <c r="H53" s="1121"/>
      <c r="I53" s="181">
        <v>-4.4309559939301975E-2</v>
      </c>
      <c r="J53" s="182">
        <v>-3.6796959537687421E-3</v>
      </c>
      <c r="K53" s="183">
        <v>-5.5632370785679841E-3</v>
      </c>
      <c r="L53" s="184">
        <v>-5.5632370785679841E-3</v>
      </c>
      <c r="M53" s="185">
        <v>3.7531153479971158E-2</v>
      </c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BE53" t="s">
        <v>302</v>
      </c>
      <c r="BF53">
        <v>74.054734089485805</v>
      </c>
      <c r="BG53">
        <v>1.0094332347649E-4</v>
      </c>
      <c r="BH53">
        <v>2.0471581355555601E-3</v>
      </c>
    </row>
    <row r="54" spans="1:71" ht="14.25" x14ac:dyDescent="0.65">
      <c r="A54" s="1081"/>
      <c r="B54" s="148" t="s">
        <v>319</v>
      </c>
      <c r="C54" s="149">
        <v>39855</v>
      </c>
      <c r="D54" s="150">
        <v>45009.046086335104</v>
      </c>
      <c r="E54" s="151">
        <v>46690</v>
      </c>
      <c r="F54" s="152">
        <v>131554.04608633509</v>
      </c>
      <c r="G54" s="153">
        <v>1064209.8695236738</v>
      </c>
      <c r="H54" s="1121"/>
      <c r="I54" s="181">
        <v>-7.4688893016344723E-2</v>
      </c>
      <c r="J54" s="182">
        <v>2.0818577897967505E-3</v>
      </c>
      <c r="K54" s="183">
        <v>-2.907127241750429E-2</v>
      </c>
      <c r="L54" s="184">
        <v>-2.907127241750429E-2</v>
      </c>
      <c r="M54" s="185">
        <v>2.8807194454872898E-2</v>
      </c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BE54" t="s">
        <v>17</v>
      </c>
      <c r="BF54">
        <v>71.051977446800905</v>
      </c>
      <c r="BG54">
        <v>6.0214126798913805E-3</v>
      </c>
      <c r="BH54">
        <v>1.2119593011540399E-3</v>
      </c>
    </row>
    <row r="55" spans="1:71" ht="14.25" x14ac:dyDescent="0.65">
      <c r="A55" s="1081"/>
      <c r="B55" s="148" t="s">
        <v>321</v>
      </c>
      <c r="C55" s="149">
        <v>44393</v>
      </c>
      <c r="D55" s="150">
        <v>46983</v>
      </c>
      <c r="E55" s="151">
        <v>47628</v>
      </c>
      <c r="F55" s="152">
        <v>139004</v>
      </c>
      <c r="G55" s="153">
        <v>1203213.8695236738</v>
      </c>
      <c r="H55" s="1121"/>
      <c r="I55" s="181">
        <v>-3.2108855757140291E-3</v>
      </c>
      <c r="J55" s="182">
        <v>3.1869488918257249E-2</v>
      </c>
      <c r="K55" s="183">
        <v>1.1504624407850272E-2</v>
      </c>
      <c r="L55" s="184">
        <v>1.1504624407850272E-2</v>
      </c>
      <c r="M55" s="185">
        <v>2.6778092796277075E-2</v>
      </c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BD55" t="s">
        <v>325</v>
      </c>
      <c r="BE55" t="s">
        <v>264</v>
      </c>
      <c r="BF55">
        <v>71.051104664576499</v>
      </c>
      <c r="BG55">
        <v>1.53682172957139E-2</v>
      </c>
      <c r="BH55">
        <v>8.2329735512008E-4</v>
      </c>
    </row>
    <row r="56" spans="1:71" ht="14.25" x14ac:dyDescent="0.65">
      <c r="A56" s="1081"/>
      <c r="B56" s="148" t="s">
        <v>323</v>
      </c>
      <c r="C56" s="149">
        <v>43645</v>
      </c>
      <c r="D56" s="150">
        <v>44328</v>
      </c>
      <c r="E56" s="151">
        <v>46087</v>
      </c>
      <c r="F56" s="152">
        <v>134060</v>
      </c>
      <c r="G56" s="153">
        <v>1337273.8695236738</v>
      </c>
      <c r="H56" s="1121"/>
      <c r="I56" s="181">
        <v>-4.2053510677992144E-2</v>
      </c>
      <c r="J56" s="182">
        <v>-9.5845958781939702E-3</v>
      </c>
      <c r="K56" s="183">
        <v>-4.0983196102697628E-2</v>
      </c>
      <c r="L56" s="184">
        <v>-4.0983196102697628E-2</v>
      </c>
      <c r="M56" s="185">
        <v>1.9556291965288519E-2</v>
      </c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BE56" t="s">
        <v>302</v>
      </c>
      <c r="BF56">
        <v>74.054734089485507</v>
      </c>
      <c r="BG56">
        <v>1.4363980931045299E-3</v>
      </c>
      <c r="BH56">
        <v>3.0837733297494202E-3</v>
      </c>
    </row>
    <row r="57" spans="1:71" ht="14.25" x14ac:dyDescent="0.65">
      <c r="A57" s="1081"/>
      <c r="B57" s="148" t="s">
        <v>326</v>
      </c>
      <c r="C57" s="149">
        <v>42610</v>
      </c>
      <c r="D57" s="150">
        <v>43068</v>
      </c>
      <c r="E57" s="151">
        <v>44500</v>
      </c>
      <c r="F57" s="152">
        <v>130178</v>
      </c>
      <c r="G57" s="153">
        <v>1467451.8695236738</v>
      </c>
      <c r="H57" s="1121"/>
      <c r="I57" s="181">
        <v>-6.5283200982757861E-2</v>
      </c>
      <c r="J57" s="182">
        <v>-2.3266022827041263E-2</v>
      </c>
      <c r="K57" s="183">
        <v>-6.7572987995301315E-2</v>
      </c>
      <c r="L57" s="184">
        <v>-6.7572987995301315E-2</v>
      </c>
      <c r="M57" s="185">
        <v>1.1174265725089949E-2</v>
      </c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BE57" t="s">
        <v>17</v>
      </c>
      <c r="BF57">
        <v>71.051104664576499</v>
      </c>
      <c r="BG57">
        <v>1.53682172957139E-2</v>
      </c>
      <c r="BH57">
        <v>8.2329735512008E-4</v>
      </c>
    </row>
    <row r="58" spans="1:71" ht="15" thickBot="1" x14ac:dyDescent="0.8">
      <c r="A58" s="1082"/>
      <c r="B58" s="212" t="s">
        <v>327</v>
      </c>
      <c r="C58" s="164">
        <v>41091</v>
      </c>
      <c r="D58" s="165">
        <v>44677</v>
      </c>
      <c r="E58" s="166">
        <v>42705</v>
      </c>
      <c r="F58" s="167">
        <v>128473</v>
      </c>
      <c r="G58" s="153">
        <v>1595924.8695236738</v>
      </c>
      <c r="H58" s="1121"/>
      <c r="I58" s="194">
        <v>-2.0476758045292014E-2</v>
      </c>
      <c r="J58" s="195">
        <v>1.3335548015091474E-2</v>
      </c>
      <c r="K58" s="196">
        <v>-1.8443390099857182E-2</v>
      </c>
      <c r="L58" s="197">
        <v>-1.8443390099857182E-2</v>
      </c>
      <c r="M58" s="198">
        <v>8.7240342085199707E-3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BD58" t="s">
        <v>305</v>
      </c>
      <c r="BE58" t="s">
        <v>264</v>
      </c>
      <c r="BF58">
        <v>71.051977446800905</v>
      </c>
      <c r="BG58">
        <v>6.0214126798913805E-3</v>
      </c>
      <c r="BH58">
        <v>1.2119593011540399E-3</v>
      </c>
    </row>
    <row r="59" spans="1:71" ht="15" thickBot="1" x14ac:dyDescent="0.8">
      <c r="A59" s="200" t="s">
        <v>329</v>
      </c>
      <c r="B59" s="201"/>
      <c r="C59" s="170">
        <v>42138.462600146777</v>
      </c>
      <c r="D59" s="170">
        <v>45501.244565350084</v>
      </c>
      <c r="E59" s="170">
        <v>45354.031961475965</v>
      </c>
      <c r="F59" s="171">
        <v>132993.73912697283</v>
      </c>
      <c r="G59" s="171"/>
      <c r="H59" s="1122"/>
      <c r="I59" s="202">
        <v>-1.9760298530088205E-2</v>
      </c>
      <c r="J59" s="202">
        <v>1.8596441278226683E-2</v>
      </c>
      <c r="K59" s="203">
        <v>2.6455729851725174E-2</v>
      </c>
      <c r="L59" s="204"/>
      <c r="M59" s="203">
        <v>8.7240342085199707E-3</v>
      </c>
      <c r="W59" s="213">
        <v>0.65</v>
      </c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BE59" t="s">
        <v>302</v>
      </c>
      <c r="BF59">
        <v>74.054734089485805</v>
      </c>
      <c r="BG59">
        <v>1.0094332347649E-4</v>
      </c>
      <c r="BH59">
        <v>2.0471581355555601E-3</v>
      </c>
    </row>
    <row r="60" spans="1:71" x14ac:dyDescent="0.6">
      <c r="A60" s="1080">
        <v>2009</v>
      </c>
      <c r="B60" s="214" t="s">
        <v>295</v>
      </c>
      <c r="C60" s="138">
        <v>40051</v>
      </c>
      <c r="D60" s="139">
        <v>41955</v>
      </c>
      <c r="E60" s="140">
        <v>42020</v>
      </c>
      <c r="F60" s="141">
        <v>124026</v>
      </c>
      <c r="G60" s="142">
        <v>124026</v>
      </c>
      <c r="H60" s="1120" t="s">
        <v>341</v>
      </c>
      <c r="I60" s="215">
        <v>-4.8195061669716488E-2</v>
      </c>
      <c r="J60" s="216">
        <v>1.4045079395723732E-2</v>
      </c>
      <c r="K60" s="217">
        <v>-2.682725881752912E-2</v>
      </c>
      <c r="L60" s="179">
        <v>-2.682725881752912E-2</v>
      </c>
      <c r="M60" s="218">
        <v>-2.682725881752912E-2</v>
      </c>
      <c r="S60" t="s">
        <v>342</v>
      </c>
      <c r="Z60" t="s">
        <v>343</v>
      </c>
      <c r="BE60" t="s">
        <v>17</v>
      </c>
      <c r="BF60">
        <v>71.051977446800905</v>
      </c>
      <c r="BG60">
        <v>6.0214126798913805E-3</v>
      </c>
      <c r="BH60">
        <v>1.2119593011540399E-3</v>
      </c>
    </row>
    <row r="61" spans="1:71" ht="14.25" x14ac:dyDescent="0.65">
      <c r="A61" s="1081"/>
      <c r="B61" s="219" t="s">
        <v>299</v>
      </c>
      <c r="C61" s="149">
        <v>41468</v>
      </c>
      <c r="D61" s="150">
        <v>43176</v>
      </c>
      <c r="E61" s="151">
        <v>43833</v>
      </c>
      <c r="F61" s="152">
        <v>128477</v>
      </c>
      <c r="G61" s="153">
        <v>252503</v>
      </c>
      <c r="H61" s="1121"/>
      <c r="I61" s="181">
        <v>-1.7602046859823268E-2</v>
      </c>
      <c r="J61" s="182">
        <v>5.4132165057228709E-3</v>
      </c>
      <c r="K61" s="183">
        <v>-2.315202019434015E-2</v>
      </c>
      <c r="L61" s="184">
        <v>-2.315202019434015E-2</v>
      </c>
      <c r="M61" s="185">
        <v>-2.4960709279560733E-2</v>
      </c>
      <c r="P61" s="206">
        <v>2012</v>
      </c>
      <c r="Q61" t="s">
        <v>344</v>
      </c>
      <c r="S61">
        <v>4.2350000000000003</v>
      </c>
      <c r="T61" s="93">
        <f>S61*365*0.65</f>
        <v>1004.7537500000001</v>
      </c>
      <c r="U61" s="93">
        <f>S61/0.16</f>
        <v>26.46875</v>
      </c>
      <c r="V61" s="93">
        <f>U61/0.0194</f>
        <v>1364.3685567010309</v>
      </c>
      <c r="W61" s="93">
        <f>V61*$W$59</f>
        <v>886.83956185567013</v>
      </c>
      <c r="BD61" t="s">
        <v>308</v>
      </c>
      <c r="BE61" t="s">
        <v>264</v>
      </c>
      <c r="BF61">
        <v>71.051104664576499</v>
      </c>
      <c r="BG61">
        <v>1.53682172957139E-2</v>
      </c>
      <c r="BH61">
        <v>8.2329735512008E-4</v>
      </c>
    </row>
    <row r="62" spans="1:71" ht="14.25" x14ac:dyDescent="0.65">
      <c r="A62" s="1081"/>
      <c r="B62" s="219" t="s">
        <v>303</v>
      </c>
      <c r="C62" s="149">
        <v>42649</v>
      </c>
      <c r="D62" s="150">
        <v>43974</v>
      </c>
      <c r="E62" s="151">
        <v>45207</v>
      </c>
      <c r="F62" s="152">
        <v>131830</v>
      </c>
      <c r="G62" s="153">
        <v>384333</v>
      </c>
      <c r="H62" s="1121"/>
      <c r="I62" s="181">
        <v>-5.4926819836138121E-3</v>
      </c>
      <c r="J62" s="182">
        <v>3.3279239331672421E-2</v>
      </c>
      <c r="K62" s="183">
        <v>2.0328641835818395E-3</v>
      </c>
      <c r="L62" s="184">
        <v>2.0328641835818395E-3</v>
      </c>
      <c r="M62" s="185">
        <v>-1.5867048172648834E-2</v>
      </c>
      <c r="P62" s="206">
        <v>2013</v>
      </c>
      <c r="R62" s="160">
        <f>M124</f>
        <v>2.8204394465260352E-2</v>
      </c>
      <c r="S62" s="95">
        <f>S61*(1+R62)</f>
        <v>4.3544456105603775</v>
      </c>
      <c r="T62" s="93">
        <f t="shared" ref="T62:T67" si="25">S62*365*0.65</f>
        <v>1033.0922211054497</v>
      </c>
      <c r="U62" s="93">
        <f t="shared" ref="U62:U68" si="26">S62/0.16</f>
        <v>27.215285066002359</v>
      </c>
      <c r="V62" s="93">
        <f t="shared" ref="V62:V68" si="27">U62/0.0194</f>
        <v>1402.8497456702246</v>
      </c>
      <c r="W62" s="93">
        <f t="shared" ref="W62:W67" si="28">V62*$W$59</f>
        <v>911.85233468564604</v>
      </c>
      <c r="Z62">
        <v>5470</v>
      </c>
      <c r="AA62">
        <v>3406</v>
      </c>
      <c r="AB62">
        <f>AA62+Z62</f>
        <v>8876</v>
      </c>
      <c r="BE62" t="s">
        <v>302</v>
      </c>
      <c r="BF62">
        <v>74.054734089485507</v>
      </c>
      <c r="BG62">
        <v>1.4363980931045299E-3</v>
      </c>
      <c r="BH62">
        <v>3.0837733297494202E-3</v>
      </c>
    </row>
    <row r="63" spans="1:71" ht="14.25" x14ac:dyDescent="0.65">
      <c r="A63" s="1081"/>
      <c r="B63" s="219" t="s">
        <v>306</v>
      </c>
      <c r="C63" s="149">
        <v>40139</v>
      </c>
      <c r="D63" s="150">
        <v>43031</v>
      </c>
      <c r="E63" s="151">
        <v>44800</v>
      </c>
      <c r="F63" s="152">
        <v>127970</v>
      </c>
      <c r="G63" s="153">
        <v>512303</v>
      </c>
      <c r="H63" s="1121"/>
      <c r="I63" s="181">
        <v>-0.11398803611239874</v>
      </c>
      <c r="J63" s="182">
        <v>-5.2493549342244407E-2</v>
      </c>
      <c r="K63" s="183">
        <v>-9.1212521482239017E-2</v>
      </c>
      <c r="L63" s="184">
        <v>-9.1212521482239017E-2</v>
      </c>
      <c r="M63" s="185">
        <v>-3.5834727190527604E-2</v>
      </c>
      <c r="P63" s="206">
        <v>2014</v>
      </c>
      <c r="R63" s="160">
        <f>M137</f>
        <v>2.9891451882241293E-2</v>
      </c>
      <c r="S63" s="95">
        <f t="shared" ref="S63:S68" si="29">S62*(1+R63)</f>
        <v>4.4846063120022794</v>
      </c>
      <c r="T63" s="93">
        <f t="shared" si="25"/>
        <v>1063.9728475225409</v>
      </c>
      <c r="U63" s="93">
        <f t="shared" si="26"/>
        <v>28.028789450014244</v>
      </c>
      <c r="V63" s="93">
        <f t="shared" si="27"/>
        <v>1444.7829613409403</v>
      </c>
      <c r="W63" s="93">
        <f t="shared" si="28"/>
        <v>939.10892487161129</v>
      </c>
      <c r="Z63">
        <v>328</v>
      </c>
      <c r="AA63">
        <v>950</v>
      </c>
      <c r="AB63">
        <f>AA63+Z63</f>
        <v>1278</v>
      </c>
      <c r="BE63" t="s">
        <v>17</v>
      </c>
      <c r="BF63">
        <v>71.051104664576499</v>
      </c>
      <c r="BG63">
        <v>1.53682172957139E-2</v>
      </c>
      <c r="BH63">
        <v>8.2329735512008E-4</v>
      </c>
    </row>
    <row r="64" spans="1:71" ht="14.25" x14ac:dyDescent="0.65">
      <c r="A64" s="1081"/>
      <c r="B64" s="219" t="s">
        <v>310</v>
      </c>
      <c r="C64" s="149">
        <v>41143</v>
      </c>
      <c r="D64" s="150">
        <v>45166</v>
      </c>
      <c r="E64" s="151">
        <v>46849</v>
      </c>
      <c r="F64" s="152">
        <v>133158</v>
      </c>
      <c r="G64" s="153">
        <v>645461</v>
      </c>
      <c r="H64" s="1121"/>
      <c r="I64" s="181">
        <v>-5.2004608294930872E-2</v>
      </c>
      <c r="J64" s="182">
        <v>-1.0246334558668187E-2</v>
      </c>
      <c r="K64" s="183">
        <v>-4.1216376179041503E-2</v>
      </c>
      <c r="L64" s="184">
        <v>-4.1216376179041503E-2</v>
      </c>
      <c r="M64" s="185">
        <v>-3.69498967334152E-2</v>
      </c>
      <c r="P64" s="206">
        <v>2015</v>
      </c>
      <c r="R64" s="160">
        <f>M150</f>
        <v>4.227000115618762E-2</v>
      </c>
      <c r="S64" s="95">
        <f t="shared" si="29"/>
        <v>4.6741706259956617</v>
      </c>
      <c r="T64" s="93">
        <f t="shared" si="25"/>
        <v>1108.9469810174708</v>
      </c>
      <c r="U64" s="93">
        <f t="shared" si="26"/>
        <v>29.213566412472886</v>
      </c>
      <c r="V64" s="93">
        <f t="shared" si="27"/>
        <v>1505.8539387872622</v>
      </c>
      <c r="W64" s="93">
        <f t="shared" si="28"/>
        <v>978.8050602117205</v>
      </c>
      <c r="Z64">
        <v>30</v>
      </c>
      <c r="AA64">
        <v>2706</v>
      </c>
      <c r="AB64">
        <f>AA64+Z64</f>
        <v>2736</v>
      </c>
    </row>
    <row r="65" spans="1:60" ht="14.25" x14ac:dyDescent="0.65">
      <c r="A65" s="1081"/>
      <c r="B65" s="219" t="s">
        <v>314</v>
      </c>
      <c r="C65" s="149">
        <v>39338</v>
      </c>
      <c r="D65" s="150">
        <v>45356</v>
      </c>
      <c r="E65" s="151">
        <v>47542</v>
      </c>
      <c r="F65" s="152">
        <v>132236</v>
      </c>
      <c r="G65" s="153">
        <v>777697</v>
      </c>
      <c r="H65" s="1121"/>
      <c r="I65" s="181">
        <v>-2.6335329934161676E-2</v>
      </c>
      <c r="J65" s="182">
        <v>1.0671768707482994E-2</v>
      </c>
      <c r="K65" s="183">
        <v>-5.8539920003616297E-3</v>
      </c>
      <c r="L65" s="184">
        <v>-5.8539920003616297E-3</v>
      </c>
      <c r="M65" s="185">
        <v>-3.1800490402125403E-2</v>
      </c>
      <c r="P65" s="206">
        <v>2016</v>
      </c>
      <c r="R65" s="160">
        <f>M163</f>
        <v>7.2047840846281241E-2</v>
      </c>
      <c r="S65" s="95">
        <f t="shared" si="29"/>
        <v>5.0109345273457597</v>
      </c>
      <c r="T65" s="93">
        <f t="shared" si="25"/>
        <v>1188.8442166127816</v>
      </c>
      <c r="U65" s="93">
        <f t="shared" si="26"/>
        <v>31.318340795910999</v>
      </c>
      <c r="V65" s="93">
        <f t="shared" si="27"/>
        <v>1614.3474637067525</v>
      </c>
      <c r="W65" s="93">
        <f t="shared" si="28"/>
        <v>1049.3258514093891</v>
      </c>
      <c r="Z65">
        <f>SUM(Z62:Z64)</f>
        <v>5828</v>
      </c>
      <c r="AA65">
        <f>SUM(AA62:AA64)</f>
        <v>7062</v>
      </c>
      <c r="AB65">
        <f>SUM(AB62:AB64)</f>
        <v>12890</v>
      </c>
    </row>
    <row r="66" spans="1:60" ht="14.25" x14ac:dyDescent="0.65">
      <c r="A66" s="1081"/>
      <c r="B66" s="219" t="s">
        <v>316</v>
      </c>
      <c r="C66" s="149">
        <v>36278</v>
      </c>
      <c r="D66" s="150">
        <v>43055</v>
      </c>
      <c r="E66" s="151">
        <v>46544</v>
      </c>
      <c r="F66" s="152">
        <v>125877</v>
      </c>
      <c r="G66" s="153">
        <v>903574</v>
      </c>
      <c r="H66" s="1121"/>
      <c r="I66" s="181">
        <v>-3.9959775590134437E-2</v>
      </c>
      <c r="J66" s="182">
        <v>7.5247548762042097E-3</v>
      </c>
      <c r="K66" s="183">
        <v>-2.7341290045943545E-2</v>
      </c>
      <c r="L66" s="184">
        <v>-2.7341290045943545E-2</v>
      </c>
      <c r="M66" s="185">
        <v>-3.1181731466766061E-2</v>
      </c>
      <c r="P66" s="206">
        <v>2017</v>
      </c>
      <c r="R66" s="160">
        <f>M176</f>
        <v>8.0027290299421239E-2</v>
      </c>
      <c r="S66" s="95">
        <f>S65*(1+R66)</f>
        <v>5.4119460394370522</v>
      </c>
      <c r="T66" s="93">
        <f>S66*365*0.65</f>
        <v>1283.9841978564407</v>
      </c>
      <c r="U66" s="93">
        <f t="shared" si="26"/>
        <v>33.824662746481579</v>
      </c>
      <c r="V66" s="93">
        <f t="shared" si="27"/>
        <v>1743.5393168289472</v>
      </c>
      <c r="W66" s="93">
        <f t="shared" si="28"/>
        <v>1133.3005559388157</v>
      </c>
      <c r="BC66" t="s">
        <v>264</v>
      </c>
      <c r="BE66">
        <f>BG66/1000</f>
        <v>7.3169105356480999E-3</v>
      </c>
      <c r="BF66">
        <f>BH66/1000</f>
        <v>6.0998104818480998E-4</v>
      </c>
      <c r="BG66">
        <v>7.3169105356481001</v>
      </c>
      <c r="BH66">
        <v>0.60998104818481003</v>
      </c>
    </row>
    <row r="67" spans="1:60" ht="14.25" x14ac:dyDescent="0.65">
      <c r="A67" s="1081"/>
      <c r="B67" s="219" t="s">
        <v>319</v>
      </c>
      <c r="C67" s="149">
        <v>38943</v>
      </c>
      <c r="D67" s="150">
        <v>43639.509729323123</v>
      </c>
      <c r="E67" s="151">
        <v>46669</v>
      </c>
      <c r="F67" s="152">
        <v>129251.50972932312</v>
      </c>
      <c r="G67" s="153">
        <v>1032825.5097293231</v>
      </c>
      <c r="H67" s="1121"/>
      <c r="I67" s="181">
        <v>-2.2882950696273992E-2</v>
      </c>
      <c r="J67" s="182">
        <v>-4.4977511244377811E-4</v>
      </c>
      <c r="K67" s="183">
        <v>-1.7502588673714237E-2</v>
      </c>
      <c r="L67" s="184">
        <v>-1.7502588673714237E-2</v>
      </c>
      <c r="M67" s="185">
        <v>-2.9490761825388789E-2</v>
      </c>
      <c r="P67" s="206">
        <v>2018</v>
      </c>
      <c r="R67" s="160">
        <f>M189</f>
        <v>2.8042488962377599E-2</v>
      </c>
      <c r="S67" s="95">
        <f t="shared" si="29"/>
        <v>5.5637104765129486</v>
      </c>
      <c r="T67" s="93">
        <f t="shared" si="25"/>
        <v>1319.9903105526971</v>
      </c>
      <c r="U67" s="93">
        <f t="shared" si="26"/>
        <v>34.773190478205926</v>
      </c>
      <c r="V67" s="93">
        <f t="shared" si="27"/>
        <v>1792.4324988765941</v>
      </c>
      <c r="W67" s="93">
        <f t="shared" si="28"/>
        <v>1165.0811242697862</v>
      </c>
      <c r="Z67" s="123">
        <f>Z62/$AB$65</f>
        <v>0.42435996896819239</v>
      </c>
      <c r="AA67" s="123">
        <f>AA62/$AB$65</f>
        <v>0.26423584173778125</v>
      </c>
      <c r="AB67" s="123">
        <f t="shared" ref="Z67:AB69" si="30">AB62/$AB$65</f>
        <v>0.68859581070597364</v>
      </c>
      <c r="BC67" t="s">
        <v>302</v>
      </c>
      <c r="BE67">
        <f>BG67/1000</f>
        <v>1.1457692289250001E-4</v>
      </c>
      <c r="BF67">
        <f t="shared" ref="BF67" si="31">BH67/1000</f>
        <v>2.5659043229536902E-3</v>
      </c>
      <c r="BG67">
        <v>0.1145769228925</v>
      </c>
      <c r="BH67">
        <v>2.5659043229536902</v>
      </c>
    </row>
    <row r="68" spans="1:60" ht="14.25" x14ac:dyDescent="0.65">
      <c r="A68" s="1081"/>
      <c r="B68" s="219" t="s">
        <v>321</v>
      </c>
      <c r="C68" s="149">
        <v>42344</v>
      </c>
      <c r="D68" s="150">
        <v>45323.090825744075</v>
      </c>
      <c r="E68" s="151">
        <v>46364</v>
      </c>
      <c r="F68" s="152">
        <v>134031.09082574409</v>
      </c>
      <c r="G68" s="153">
        <v>1166856.6005550672</v>
      </c>
      <c r="H68" s="1121"/>
      <c r="I68" s="181">
        <v>-4.6155925483747438E-2</v>
      </c>
      <c r="J68" s="182">
        <v>-2.6539010665994792E-2</v>
      </c>
      <c r="K68" s="183">
        <v>-3.5775295489740677E-2</v>
      </c>
      <c r="L68" s="184">
        <v>-3.5775295489740677E-2</v>
      </c>
      <c r="M68" s="185">
        <v>-3.0216796771965093E-2</v>
      </c>
      <c r="P68" s="206">
        <v>2019</v>
      </c>
      <c r="R68" s="160">
        <f>M202</f>
        <v>1.1087125087072547E-2</v>
      </c>
      <c r="S68" s="95">
        <f t="shared" si="29"/>
        <v>5.6253960305143034</v>
      </c>
      <c r="T68" s="93">
        <f>S68*365*0.65</f>
        <v>1334.6252082395183</v>
      </c>
      <c r="U68" s="93">
        <f t="shared" si="26"/>
        <v>35.158725190714392</v>
      </c>
      <c r="V68" s="93">
        <f t="shared" si="27"/>
        <v>1812.3054222017727</v>
      </c>
      <c r="W68" s="93">
        <f>V68*$W$59</f>
        <v>1177.9985244311522</v>
      </c>
      <c r="Z68" s="123">
        <f t="shared" si="30"/>
        <v>2.5446082234290148E-2</v>
      </c>
      <c r="AA68" s="123">
        <f t="shared" si="30"/>
        <v>7.3700543056633053E-2</v>
      </c>
      <c r="AB68" s="123">
        <f t="shared" si="30"/>
        <v>9.914662529092319E-2</v>
      </c>
      <c r="BC68" t="s">
        <v>334</v>
      </c>
      <c r="BE68">
        <f>BG68/1000</f>
        <v>7.3169105356480999E-3</v>
      </c>
      <c r="BF68">
        <f>BH68/1000</f>
        <v>6.0998104818480998E-4</v>
      </c>
      <c r="BG68">
        <v>7.3169105356481001</v>
      </c>
      <c r="BH68">
        <v>0.60998104818481003</v>
      </c>
    </row>
    <row r="69" spans="1:60" x14ac:dyDescent="0.6">
      <c r="A69" s="1081"/>
      <c r="B69" s="219" t="s">
        <v>323</v>
      </c>
      <c r="C69" s="149">
        <v>41415</v>
      </c>
      <c r="D69" s="150">
        <v>44791.584372036959</v>
      </c>
      <c r="E69" s="151">
        <v>44499</v>
      </c>
      <c r="F69" s="152">
        <v>130705.58437203696</v>
      </c>
      <c r="G69" s="153">
        <v>1297562.184927104</v>
      </c>
      <c r="H69" s="1121"/>
      <c r="I69" s="181">
        <v>-5.1094054301752775E-2</v>
      </c>
      <c r="J69" s="182">
        <v>-3.4456571267385598E-2</v>
      </c>
      <c r="K69" s="183">
        <v>-2.5021748679419975E-2</v>
      </c>
      <c r="L69" s="184">
        <v>-2.5021748679419975E-2</v>
      </c>
      <c r="M69" s="185">
        <v>-2.9695999825910535E-2</v>
      </c>
      <c r="Z69" s="123">
        <f t="shared" si="30"/>
        <v>2.3273855702094647E-3</v>
      </c>
      <c r="AA69" s="123">
        <f t="shared" si="30"/>
        <v>0.20993017843289372</v>
      </c>
      <c r="AB69" s="123">
        <f t="shared" si="30"/>
        <v>0.21225756400310319</v>
      </c>
      <c r="BC69" t="s">
        <v>335</v>
      </c>
      <c r="BE69">
        <f>BG69/1000</f>
        <v>7.3169105356480999E-3</v>
      </c>
      <c r="BF69">
        <f>BH69/1000</f>
        <v>6.0998104818480998E-4</v>
      </c>
      <c r="BG69">
        <v>7.3169105356481001</v>
      </c>
      <c r="BH69">
        <v>0.60998104818481003</v>
      </c>
    </row>
    <row r="70" spans="1:60" x14ac:dyDescent="0.6">
      <c r="A70" s="1081"/>
      <c r="B70" s="219" t="s">
        <v>326</v>
      </c>
      <c r="C70" s="149">
        <v>41585</v>
      </c>
      <c r="D70" s="150">
        <v>44265</v>
      </c>
      <c r="E70" s="151">
        <v>44559</v>
      </c>
      <c r="F70" s="152">
        <v>130409</v>
      </c>
      <c r="G70" s="153">
        <v>1427971.184927104</v>
      </c>
      <c r="H70" s="1121"/>
      <c r="I70" s="181">
        <v>-2.4055386059610419E-2</v>
      </c>
      <c r="J70" s="182">
        <v>1.3258426966292136E-3</v>
      </c>
      <c r="K70" s="183">
        <v>1.7744933859791256E-3</v>
      </c>
      <c r="L70" s="184">
        <v>1.7744933859791256E-3</v>
      </c>
      <c r="M70" s="185">
        <v>-2.6904244981734826E-2</v>
      </c>
      <c r="R70" s="123">
        <f>(S68-S61)/S61</f>
        <v>0.32831075100691925</v>
      </c>
      <c r="BC70" t="s">
        <v>336</v>
      </c>
      <c r="BE70">
        <f t="shared" ref="BE70:BE73" si="32">BG70/1000</f>
        <v>7.3169105356480999E-3</v>
      </c>
      <c r="BF70">
        <f t="shared" ref="BF70:BF73" si="33">BH70/1000</f>
        <v>6.0998104818480998E-4</v>
      </c>
      <c r="BG70">
        <v>7.3169105356481001</v>
      </c>
      <c r="BH70">
        <v>0.60998104818481003</v>
      </c>
    </row>
    <row r="71" spans="1:60" ht="13.75" thickBot="1" x14ac:dyDescent="0.75">
      <c r="A71" s="1082"/>
      <c r="B71" s="163" t="s">
        <v>327</v>
      </c>
      <c r="C71" s="164">
        <v>40810</v>
      </c>
      <c r="D71" s="165">
        <v>45965</v>
      </c>
      <c r="E71" s="166">
        <v>43664</v>
      </c>
      <c r="F71" s="167">
        <v>130439</v>
      </c>
      <c r="G71" s="153">
        <v>1558410.184927104</v>
      </c>
      <c r="H71" s="1121"/>
      <c r="I71" s="208">
        <v>-6.838480445839722E-3</v>
      </c>
      <c r="J71" s="209">
        <v>2.2456386839948484E-2</v>
      </c>
      <c r="K71" s="210">
        <v>1.5302826274781411E-2</v>
      </c>
      <c r="L71" s="197">
        <v>1.5302826274781411E-2</v>
      </c>
      <c r="M71" s="211">
        <v>-2.3506548029273211E-2</v>
      </c>
      <c r="R71" s="123">
        <f>(S68-S66)/S66</f>
        <v>3.9440524632328763E-2</v>
      </c>
      <c r="BC71" t="s">
        <v>337</v>
      </c>
      <c r="BE71">
        <f t="shared" si="32"/>
        <v>1.1457692289250001E-4</v>
      </c>
      <c r="BF71">
        <f t="shared" si="33"/>
        <v>2.5659043229536902E-3</v>
      </c>
      <c r="BG71">
        <v>0.1145769228925</v>
      </c>
      <c r="BH71">
        <v>2.5659043229536902</v>
      </c>
    </row>
    <row r="72" spans="1:60" ht="13.75" thickBot="1" x14ac:dyDescent="0.75">
      <c r="A72" s="200" t="s">
        <v>329</v>
      </c>
      <c r="B72" s="201"/>
      <c r="C72" s="170">
        <v>40513.583333333336</v>
      </c>
      <c r="D72" s="170">
        <v>44141.43207725868</v>
      </c>
      <c r="E72" s="170">
        <v>45212.5</v>
      </c>
      <c r="F72" s="171">
        <v>129867.51541059201</v>
      </c>
      <c r="G72" s="171"/>
      <c r="H72" s="1121"/>
      <c r="I72" s="202">
        <v>-3.8560478160581502E-2</v>
      </c>
      <c r="J72" s="202">
        <v>-2.9885171297642343E-2</v>
      </c>
      <c r="K72" s="203">
        <v>-3.1206037336698467E-3</v>
      </c>
      <c r="L72" s="204"/>
      <c r="M72" s="203">
        <v>-2.3506548029273211E-2</v>
      </c>
      <c r="W72">
        <f>W74/0.16/0.0194*0.65</f>
        <v>1261.9925902061855</v>
      </c>
      <c r="BC72" t="s">
        <v>339</v>
      </c>
      <c r="BE72">
        <f t="shared" si="32"/>
        <v>1.1457692289250001E-4</v>
      </c>
      <c r="BF72">
        <f t="shared" si="33"/>
        <v>2.5659043229536902E-3</v>
      </c>
      <c r="BG72">
        <v>0.1145769228925</v>
      </c>
      <c r="BH72">
        <v>2.5659043229536902</v>
      </c>
    </row>
    <row r="73" spans="1:60" ht="14.25" x14ac:dyDescent="0.65">
      <c r="A73" s="1081">
        <v>2010</v>
      </c>
      <c r="B73" s="175" t="s">
        <v>295</v>
      </c>
      <c r="C73" s="138">
        <v>38769</v>
      </c>
      <c r="D73" s="139">
        <v>40948</v>
      </c>
      <c r="E73" s="140">
        <v>40896</v>
      </c>
      <c r="F73" s="141">
        <v>120613</v>
      </c>
      <c r="G73" s="142">
        <v>120613</v>
      </c>
      <c r="H73" s="1130" t="s">
        <v>345</v>
      </c>
      <c r="I73" s="220">
        <v>-3.2009188284936707E-2</v>
      </c>
      <c r="J73" s="216">
        <v>-2.674916706330319E-2</v>
      </c>
      <c r="K73" s="217">
        <v>-2.7518423556351035E-2</v>
      </c>
      <c r="L73" s="179">
        <v>-2.7518423556351035E-2</v>
      </c>
      <c r="M73" s="218">
        <v>-2.7518423556351035E-2</v>
      </c>
      <c r="P73" s="206">
        <v>2015</v>
      </c>
      <c r="S73">
        <f>S61*1.092</f>
        <v>4.6246200000000011</v>
      </c>
      <c r="X73">
        <v>852370</v>
      </c>
      <c r="Y73">
        <f>X73*5</f>
        <v>4261850</v>
      </c>
      <c r="BC73" t="s">
        <v>340</v>
      </c>
      <c r="BE73">
        <f t="shared" si="32"/>
        <v>7.3169105356480999E-3</v>
      </c>
      <c r="BF73">
        <f t="shared" si="33"/>
        <v>6.0998104818480998E-4</v>
      </c>
      <c r="BG73">
        <v>7.3169105356481001</v>
      </c>
      <c r="BH73">
        <v>0.60998104818481003</v>
      </c>
    </row>
    <row r="74" spans="1:60" ht="14.25" x14ac:dyDescent="0.65">
      <c r="A74" s="1081"/>
      <c r="B74" s="148" t="s">
        <v>299</v>
      </c>
      <c r="C74" s="149">
        <v>40353</v>
      </c>
      <c r="D74" s="150">
        <v>42290</v>
      </c>
      <c r="E74" s="151">
        <v>42919</v>
      </c>
      <c r="F74" s="152">
        <v>125562</v>
      </c>
      <c r="G74" s="153">
        <v>246175</v>
      </c>
      <c r="H74" s="1131"/>
      <c r="I74" s="221">
        <v>-2.688820295167358E-2</v>
      </c>
      <c r="J74" s="182">
        <v>-2.0851869595966511E-2</v>
      </c>
      <c r="K74" s="183">
        <v>-2.2688885948457749E-2</v>
      </c>
      <c r="L74" s="184">
        <v>-2.2688885948457749E-2</v>
      </c>
      <c r="M74" s="185">
        <v>-2.5061088383108276E-2</v>
      </c>
      <c r="P74" s="206">
        <v>2016</v>
      </c>
      <c r="S74">
        <f>S73*1.072</f>
        <v>4.9575926400000014</v>
      </c>
      <c r="W74">
        <f>X74*5/10^6</f>
        <v>6.0265000000000004</v>
      </c>
      <c r="X74">
        <v>1205300</v>
      </c>
      <c r="Y74">
        <f>X74*5</f>
        <v>6026500</v>
      </c>
      <c r="BC74" t="s">
        <v>264</v>
      </c>
      <c r="BE74">
        <f t="shared" ref="BE74:BF80" si="34">BG74/1000</f>
        <v>6.0214126798913805E-3</v>
      </c>
      <c r="BF74">
        <f t="shared" si="34"/>
        <v>1.2119593011540399E-3</v>
      </c>
      <c r="BG74">
        <v>6.0214126798913803</v>
      </c>
      <c r="BH74">
        <v>1.2119593011540399</v>
      </c>
    </row>
    <row r="75" spans="1:60" ht="14.25" x14ac:dyDescent="0.65">
      <c r="A75" s="1081"/>
      <c r="B75" s="148" t="s">
        <v>303</v>
      </c>
      <c r="C75" s="149">
        <v>39577.55385956086</v>
      </c>
      <c r="D75" s="150">
        <v>44527</v>
      </c>
      <c r="E75" s="151">
        <v>44702</v>
      </c>
      <c r="F75" s="152">
        <v>128806.55385956087</v>
      </c>
      <c r="G75" s="153">
        <v>374981.55385956087</v>
      </c>
      <c r="H75" s="1131"/>
      <c r="I75" s="221">
        <v>-7.2016838388687665E-2</v>
      </c>
      <c r="J75" s="182">
        <v>-1.1170836374897693E-2</v>
      </c>
      <c r="K75" s="183">
        <v>-2.2934431771517327E-2</v>
      </c>
      <c r="L75" s="184">
        <v>-2.2934431771517327E-2</v>
      </c>
      <c r="M75" s="185">
        <v>-2.4331624243661421E-2</v>
      </c>
      <c r="P75" s="206">
        <v>2017</v>
      </c>
      <c r="S75">
        <f>S74*1.08</f>
        <v>5.3542000512000021</v>
      </c>
      <c r="V75">
        <f>1/52</f>
        <v>1.9230769230769232E-2</v>
      </c>
      <c r="BC75" t="s">
        <v>302</v>
      </c>
      <c r="BE75">
        <f t="shared" si="34"/>
        <v>1.0094332347649E-4</v>
      </c>
      <c r="BF75">
        <f t="shared" si="34"/>
        <v>2.0471581355555601E-3</v>
      </c>
      <c r="BG75">
        <v>0.10094332347649</v>
      </c>
      <c r="BH75">
        <v>2.0471581355555601</v>
      </c>
    </row>
    <row r="76" spans="1:60" ht="14.25" x14ac:dyDescent="0.65">
      <c r="A76" s="1081"/>
      <c r="B76" s="148" t="s">
        <v>306</v>
      </c>
      <c r="C76" s="149">
        <v>38546</v>
      </c>
      <c r="D76" s="150">
        <v>41213</v>
      </c>
      <c r="E76" s="151">
        <v>42389</v>
      </c>
      <c r="F76" s="152">
        <v>122148</v>
      </c>
      <c r="G76" s="153">
        <v>497129.55385956087</v>
      </c>
      <c r="H76" s="1131"/>
      <c r="I76" s="221">
        <v>-3.968708737138444E-2</v>
      </c>
      <c r="J76" s="182">
        <v>-5.3816964285714287E-2</v>
      </c>
      <c r="K76" s="183">
        <v>-4.5495037899507706E-2</v>
      </c>
      <c r="L76" s="184">
        <v>-4.5495037899507706E-2</v>
      </c>
      <c r="M76" s="185">
        <v>-2.9618109088643152E-2</v>
      </c>
      <c r="P76" s="206">
        <v>2017</v>
      </c>
      <c r="Q76" t="s">
        <v>346</v>
      </c>
      <c r="S76">
        <f>S75/0.16</f>
        <v>33.46375032000001</v>
      </c>
      <c r="V76">
        <f>1/7</f>
        <v>0.14285714285714285</v>
      </c>
      <c r="X76" s="123">
        <f>(X74-X73)/X73</f>
        <v>0.41405727559627858</v>
      </c>
      <c r="BC76" t="s">
        <v>17</v>
      </c>
      <c r="BE76">
        <f t="shared" si="34"/>
        <v>6.0214126798913805E-3</v>
      </c>
      <c r="BF76">
        <f t="shared" si="34"/>
        <v>1.2119593011540399E-3</v>
      </c>
      <c r="BG76">
        <v>6.0214126798913803</v>
      </c>
      <c r="BH76">
        <v>1.2119593011540399</v>
      </c>
    </row>
    <row r="77" spans="1:60" ht="14.25" x14ac:dyDescent="0.65">
      <c r="A77" s="1081"/>
      <c r="B77" s="148" t="s">
        <v>310</v>
      </c>
      <c r="C77" s="149">
        <v>42047</v>
      </c>
      <c r="D77" s="150">
        <v>46617</v>
      </c>
      <c r="E77" s="151">
        <v>48759</v>
      </c>
      <c r="F77" s="152">
        <v>137423</v>
      </c>
      <c r="G77" s="153">
        <v>634552.55385956087</v>
      </c>
      <c r="H77" s="1131"/>
      <c r="I77" s="221">
        <v>2.1972145930048852E-2</v>
      </c>
      <c r="J77" s="182">
        <v>4.0769280027321823E-2</v>
      </c>
      <c r="K77" s="183">
        <v>3.202961894891776E-2</v>
      </c>
      <c r="L77" s="184">
        <v>3.202961894891776E-2</v>
      </c>
      <c r="M77" s="185">
        <v>-1.6900240510951292E-2</v>
      </c>
      <c r="P77" s="206">
        <v>2012</v>
      </c>
      <c r="Q77" t="s">
        <v>347</v>
      </c>
      <c r="S77">
        <f>S76/0.0194</f>
        <v>1724.9355835051551</v>
      </c>
      <c r="U77">
        <f>S75*365</f>
        <v>1954.2830186880008</v>
      </c>
      <c r="AG77">
        <f>1/0.16</f>
        <v>6.25</v>
      </c>
      <c r="BC77" t="s">
        <v>264</v>
      </c>
      <c r="BE77">
        <f t="shared" si="34"/>
        <v>6.0214126798913805E-3</v>
      </c>
      <c r="BF77">
        <f t="shared" si="34"/>
        <v>1.2119593011540399E-3</v>
      </c>
      <c r="BG77">
        <v>6.0214126798913803</v>
      </c>
      <c r="BH77">
        <v>1.2119593011540399</v>
      </c>
    </row>
    <row r="78" spans="1:60" x14ac:dyDescent="0.6">
      <c r="A78" s="1081"/>
      <c r="B78" s="148" t="s">
        <v>314</v>
      </c>
      <c r="C78" s="149">
        <v>38698</v>
      </c>
      <c r="D78" s="150">
        <v>44896</v>
      </c>
      <c r="E78" s="151">
        <v>47264</v>
      </c>
      <c r="F78" s="152">
        <v>130858</v>
      </c>
      <c r="G78" s="153">
        <v>765410.55385956087</v>
      </c>
      <c r="H78" s="1131"/>
      <c r="I78" s="221">
        <v>-1.6269256189943567E-2</v>
      </c>
      <c r="J78" s="182">
        <v>-5.8474611922089944E-3</v>
      </c>
      <c r="K78" s="183">
        <v>-1.042076287848992E-2</v>
      </c>
      <c r="L78" s="184">
        <v>-1.042076287848992E-2</v>
      </c>
      <c r="M78" s="185">
        <v>-1.5798500110504654E-2</v>
      </c>
      <c r="P78" s="213">
        <v>0.65</v>
      </c>
      <c r="Q78" t="s">
        <v>348</v>
      </c>
      <c r="S78">
        <f>S77*0.65</f>
        <v>1121.208129278351</v>
      </c>
      <c r="AG78">
        <f>1/1.94</f>
        <v>0.51546391752577325</v>
      </c>
      <c r="BC78" t="s">
        <v>302</v>
      </c>
      <c r="BE78">
        <f t="shared" si="34"/>
        <v>1.0094332347649E-4</v>
      </c>
      <c r="BF78">
        <f t="shared" si="34"/>
        <v>2.0471581355555601E-3</v>
      </c>
      <c r="BG78">
        <v>0.10094332347649</v>
      </c>
      <c r="BH78">
        <v>2.0471581355555601</v>
      </c>
    </row>
    <row r="79" spans="1:60" x14ac:dyDescent="0.6">
      <c r="A79" s="1081"/>
      <c r="B79" s="148" t="s">
        <v>316</v>
      </c>
      <c r="C79" s="149">
        <v>32469.834451891707</v>
      </c>
      <c r="D79" s="150">
        <v>40894</v>
      </c>
      <c r="E79" s="151">
        <v>45038</v>
      </c>
      <c r="F79" s="152">
        <v>118401.83445189171</v>
      </c>
      <c r="G79" s="153">
        <v>883812.38831145258</v>
      </c>
      <c r="H79" s="1131"/>
      <c r="I79" s="221">
        <v>-0.1049717610702986</v>
      </c>
      <c r="J79" s="182">
        <v>-3.2356479889996563E-2</v>
      </c>
      <c r="K79" s="183">
        <v>-5.9384681459744737E-2</v>
      </c>
      <c r="L79" s="184">
        <v>-5.9384681459744737E-2</v>
      </c>
      <c r="M79" s="185">
        <v>-2.1870496150340091E-2</v>
      </c>
      <c r="BC79" t="s">
        <v>17</v>
      </c>
      <c r="BE79">
        <f t="shared" si="34"/>
        <v>6.0214126798913805E-3</v>
      </c>
      <c r="BF79">
        <f t="shared" si="34"/>
        <v>1.2119593011540399E-3</v>
      </c>
      <c r="BG79">
        <v>6.0214126798913803</v>
      </c>
      <c r="BH79">
        <v>1.2119593011540399</v>
      </c>
    </row>
    <row r="80" spans="1:60" x14ac:dyDescent="0.6">
      <c r="A80" s="1081"/>
      <c r="B80" s="148" t="s">
        <v>319</v>
      </c>
      <c r="C80" s="149">
        <v>39203</v>
      </c>
      <c r="D80" s="150">
        <v>44069</v>
      </c>
      <c r="E80" s="151">
        <v>46872</v>
      </c>
      <c r="F80" s="152">
        <v>130144</v>
      </c>
      <c r="G80" s="153">
        <v>1013956.3883114526</v>
      </c>
      <c r="H80" s="1131"/>
      <c r="I80" s="221">
        <v>6.6764245178851144E-3</v>
      </c>
      <c r="J80" s="182">
        <v>4.3497825108744564E-3</v>
      </c>
      <c r="K80" s="183">
        <v>6.9050665059613436E-3</v>
      </c>
      <c r="L80" s="184">
        <v>6.9050665059613436E-3</v>
      </c>
      <c r="M80" s="185">
        <v>-1.8269418444956553E-2</v>
      </c>
      <c r="BC80" t="s">
        <v>264</v>
      </c>
      <c r="BE80">
        <f t="shared" si="34"/>
        <v>1.53682172957139E-2</v>
      </c>
      <c r="BF80">
        <f t="shared" si="34"/>
        <v>8.2329735512008E-4</v>
      </c>
      <c r="BG80">
        <v>15.368217295713899</v>
      </c>
      <c r="BH80">
        <v>0.82329735512007995</v>
      </c>
    </row>
    <row r="81" spans="1:60" x14ac:dyDescent="0.6">
      <c r="A81" s="1081"/>
      <c r="B81" s="148" t="s">
        <v>321</v>
      </c>
      <c r="C81" s="149">
        <v>41946</v>
      </c>
      <c r="D81" s="150">
        <v>44929</v>
      </c>
      <c r="E81" s="151">
        <v>46070</v>
      </c>
      <c r="F81" s="152">
        <v>132945</v>
      </c>
      <c r="G81" s="153">
        <v>1146901.3883114527</v>
      </c>
      <c r="H81" s="1131"/>
      <c r="I81" s="221">
        <v>-9.3992064991498207E-3</v>
      </c>
      <c r="J81" s="182">
        <v>-6.3411267362608924E-3</v>
      </c>
      <c r="K81" s="183">
        <v>-8.1032752852555623E-3</v>
      </c>
      <c r="L81" s="184">
        <v>-8.1032752852555623E-3</v>
      </c>
      <c r="M81" s="185">
        <v>-1.7101683475177598E-2</v>
      </c>
      <c r="BC81" t="s">
        <v>302</v>
      </c>
      <c r="BE81">
        <f t="shared" ref="BE81:BE88" si="35">BG81/1000</f>
        <v>1.4363980931045299E-3</v>
      </c>
      <c r="BF81">
        <f t="shared" ref="BF81:BF88" si="36">BH81/1000</f>
        <v>3.0837733297494202E-3</v>
      </c>
      <c r="BG81">
        <v>1.4363980931045299</v>
      </c>
      <c r="BH81">
        <v>3.0837733297494201</v>
      </c>
    </row>
    <row r="82" spans="1:60" x14ac:dyDescent="0.6">
      <c r="A82" s="1081"/>
      <c r="B82" s="148" t="s">
        <v>323</v>
      </c>
      <c r="C82" s="149">
        <v>41381</v>
      </c>
      <c r="D82" s="150">
        <v>44334</v>
      </c>
      <c r="E82" s="151">
        <v>45824</v>
      </c>
      <c r="F82" s="152">
        <v>131539</v>
      </c>
      <c r="G82" s="153">
        <v>1278440.3883114527</v>
      </c>
      <c r="H82" s="1131"/>
      <c r="I82" s="221">
        <v>-8.2095858988289264E-4</v>
      </c>
      <c r="J82" s="182">
        <v>2.9775950021348793E-2</v>
      </c>
      <c r="K82" s="183">
        <v>6.3762817171668651E-3</v>
      </c>
      <c r="L82" s="184">
        <v>6.3762817171668651E-3</v>
      </c>
      <c r="M82" s="185">
        <v>-1.4736709221165878E-2</v>
      </c>
      <c r="S82">
        <f>1/(0.16*0.0194)</f>
        <v>322.16494845360825</v>
      </c>
      <c r="V82">
        <f>1/0.16</f>
        <v>6.25</v>
      </c>
      <c r="W82">
        <v>7</v>
      </c>
      <c r="X82">
        <f>V82/W82</f>
        <v>0.8928571428571429</v>
      </c>
      <c r="BC82" t="s">
        <v>17</v>
      </c>
      <c r="BE82">
        <f t="shared" si="35"/>
        <v>1.53682172957139E-2</v>
      </c>
      <c r="BF82">
        <f t="shared" si="36"/>
        <v>8.2329735512008E-4</v>
      </c>
      <c r="BG82">
        <v>15.368217295713899</v>
      </c>
      <c r="BH82">
        <v>0.82329735512007995</v>
      </c>
    </row>
    <row r="83" spans="1:60" x14ac:dyDescent="0.6">
      <c r="A83" s="1081"/>
      <c r="B83" s="148" t="s">
        <v>326</v>
      </c>
      <c r="C83" s="149">
        <v>38837.210682722696</v>
      </c>
      <c r="D83" s="150">
        <v>44338</v>
      </c>
      <c r="E83" s="151">
        <v>44525</v>
      </c>
      <c r="F83" s="152">
        <v>127700.2106827227</v>
      </c>
      <c r="G83" s="153">
        <v>1406140.5989941754</v>
      </c>
      <c r="H83" s="1131"/>
      <c r="I83" s="221">
        <v>-6.6076453463443638E-2</v>
      </c>
      <c r="J83" s="182">
        <v>-7.6303328171637601E-4</v>
      </c>
      <c r="K83" s="183">
        <v>-2.0771490597100706E-2</v>
      </c>
      <c r="L83" s="184">
        <v>-2.0771490597100706E-2</v>
      </c>
      <c r="M83" s="185">
        <v>-1.5287833650538984E-2</v>
      </c>
      <c r="V83">
        <f>1/0.0194</f>
        <v>51.546391752577321</v>
      </c>
      <c r="W83">
        <v>52</v>
      </c>
      <c r="X83">
        <f>V83/W83</f>
        <v>0.99127676447264079</v>
      </c>
      <c r="BC83" t="s">
        <v>264</v>
      </c>
      <c r="BE83">
        <f t="shared" si="35"/>
        <v>6.0214126798913805E-3</v>
      </c>
      <c r="BF83">
        <f t="shared" si="36"/>
        <v>1.2119593011540399E-3</v>
      </c>
      <c r="BG83">
        <v>6.0214126798913803</v>
      </c>
      <c r="BH83">
        <v>1.2119593011540399</v>
      </c>
    </row>
    <row r="84" spans="1:60" ht="13.75" thickBot="1" x14ac:dyDescent="0.75">
      <c r="A84" s="1082"/>
      <c r="B84" s="148" t="s">
        <v>327</v>
      </c>
      <c r="C84" s="222">
        <v>40499</v>
      </c>
      <c r="D84" s="223">
        <v>46137</v>
      </c>
      <c r="E84" s="224">
        <v>44030</v>
      </c>
      <c r="F84" s="167">
        <v>130666</v>
      </c>
      <c r="G84" s="153">
        <v>1536806.5989941754</v>
      </c>
      <c r="H84" s="1131"/>
      <c r="I84" s="221">
        <v>-7.6206812055868659E-3</v>
      </c>
      <c r="J84" s="182">
        <v>8.3821912788567248E-3</v>
      </c>
      <c r="K84" s="183">
        <v>1.7402770643748511E-3</v>
      </c>
      <c r="L84" s="184">
        <v>1.7402770643748511E-3</v>
      </c>
      <c r="M84" s="185">
        <v>-1.3862580045919781E-2</v>
      </c>
      <c r="BC84" t="s">
        <v>302</v>
      </c>
      <c r="BE84">
        <f t="shared" si="35"/>
        <v>1.0094332347649E-4</v>
      </c>
      <c r="BF84">
        <f t="shared" si="36"/>
        <v>2.0471581355555601E-3</v>
      </c>
      <c r="BG84">
        <v>0.10094332347649</v>
      </c>
      <c r="BH84">
        <v>2.0471581355555601</v>
      </c>
    </row>
    <row r="85" spans="1:60" ht="13.75" thickBot="1" x14ac:dyDescent="0.75">
      <c r="A85" s="200" t="s">
        <v>329</v>
      </c>
      <c r="B85" s="201"/>
      <c r="C85" s="170">
        <v>39360.54991618127</v>
      </c>
      <c r="D85" s="170">
        <v>43766</v>
      </c>
      <c r="E85" s="170">
        <v>44940.666666666664</v>
      </c>
      <c r="F85" s="171">
        <v>128067.21658284795</v>
      </c>
      <c r="G85" s="171"/>
      <c r="H85" s="1132"/>
      <c r="I85" s="225">
        <v>-2.8460415551625262E-2</v>
      </c>
      <c r="J85" s="202">
        <v>-8.5052083630087205E-3</v>
      </c>
      <c r="K85" s="203">
        <v>-6.0123490922495693E-3</v>
      </c>
      <c r="L85" s="204"/>
      <c r="M85" s="203">
        <v>-1.3862580045919781E-2</v>
      </c>
      <c r="BC85" t="s">
        <v>17</v>
      </c>
      <c r="BE85">
        <f t="shared" si="35"/>
        <v>6.0214126798913805E-3</v>
      </c>
      <c r="BF85">
        <f t="shared" si="36"/>
        <v>1.2119593011540399E-3</v>
      </c>
      <c r="BG85">
        <v>6.0214126798913803</v>
      </c>
      <c r="BH85">
        <v>1.2119593011540399</v>
      </c>
    </row>
    <row r="86" spans="1:60" x14ac:dyDescent="0.6">
      <c r="A86" s="1081">
        <v>2011</v>
      </c>
      <c r="B86" s="226" t="s">
        <v>295</v>
      </c>
      <c r="C86" s="227">
        <v>34438</v>
      </c>
      <c r="D86" s="228">
        <v>40650</v>
      </c>
      <c r="E86" s="229">
        <v>40584</v>
      </c>
      <c r="F86" s="141">
        <v>115672</v>
      </c>
      <c r="G86" s="142">
        <v>115672</v>
      </c>
      <c r="H86" s="1121" t="s">
        <v>349</v>
      </c>
      <c r="I86" s="230">
        <v>-0.11171296654543579</v>
      </c>
      <c r="J86" s="231">
        <v>-7.2775227117319527E-3</v>
      </c>
      <c r="K86" s="232">
        <v>-7.6291079812206572E-3</v>
      </c>
      <c r="L86" s="233">
        <v>-4.0965733378657387E-2</v>
      </c>
      <c r="M86" s="234">
        <v>-4.0965733378657387E-2</v>
      </c>
      <c r="BC86" t="s">
        <v>264</v>
      </c>
      <c r="BE86">
        <f t="shared" si="35"/>
        <v>1.53682172957139E-2</v>
      </c>
      <c r="BF86">
        <f t="shared" si="36"/>
        <v>8.2329735512008E-4</v>
      </c>
      <c r="BG86">
        <v>15.368217295713899</v>
      </c>
      <c r="BH86">
        <v>0.82329735512007995</v>
      </c>
    </row>
    <row r="87" spans="1:60" x14ac:dyDescent="0.6">
      <c r="A87" s="1081"/>
      <c r="B87" s="235" t="s">
        <v>299</v>
      </c>
      <c r="C87" s="227">
        <v>38278</v>
      </c>
      <c r="D87" s="228">
        <v>41594</v>
      </c>
      <c r="E87" s="229">
        <v>42191</v>
      </c>
      <c r="F87" s="152">
        <v>122063</v>
      </c>
      <c r="G87" s="153">
        <v>237735</v>
      </c>
      <c r="H87" s="1121"/>
      <c r="I87" s="236">
        <v>-5.1421207840804894E-2</v>
      </c>
      <c r="J87" s="237">
        <v>-1.6457791440056751E-2</v>
      </c>
      <c r="K87" s="238">
        <v>-1.6962184580255831E-2</v>
      </c>
      <c r="L87" s="239">
        <v>-2.786671126614737E-2</v>
      </c>
      <c r="M87" s="240">
        <v>-3.4284553671168894E-2</v>
      </c>
      <c r="BC87" t="s">
        <v>302</v>
      </c>
      <c r="BE87">
        <f t="shared" si="35"/>
        <v>1.4363980931045299E-3</v>
      </c>
      <c r="BF87">
        <f t="shared" si="36"/>
        <v>3.0837733297494202E-3</v>
      </c>
      <c r="BG87">
        <v>1.4363980931045299</v>
      </c>
      <c r="BH87">
        <v>3.0837733297494201</v>
      </c>
    </row>
    <row r="88" spans="1:60" x14ac:dyDescent="0.6">
      <c r="A88" s="1081"/>
      <c r="B88" s="226" t="s">
        <v>303</v>
      </c>
      <c r="C88" s="227">
        <v>39577.55385956086</v>
      </c>
      <c r="D88" s="228">
        <v>42024</v>
      </c>
      <c r="E88" s="229">
        <v>42382</v>
      </c>
      <c r="F88" s="152">
        <v>123983.55385956087</v>
      </c>
      <c r="G88" s="153">
        <v>361718.55385956087</v>
      </c>
      <c r="H88" s="1121"/>
      <c r="I88" s="236">
        <v>0</v>
      </c>
      <c r="J88" s="237">
        <v>-5.6213084196105732E-2</v>
      </c>
      <c r="K88" s="238">
        <v>-5.1899243881705519E-2</v>
      </c>
      <c r="L88" s="239">
        <v>-3.7443746886191565E-2</v>
      </c>
      <c r="M88" s="240">
        <v>-3.53697398271684E-2</v>
      </c>
      <c r="BC88" t="s">
        <v>17</v>
      </c>
      <c r="BE88">
        <f t="shared" si="35"/>
        <v>1.53682172957139E-2</v>
      </c>
      <c r="BF88">
        <f t="shared" si="36"/>
        <v>8.2329735512008E-4</v>
      </c>
      <c r="BG88">
        <v>15.368217295713899</v>
      </c>
      <c r="BH88">
        <v>0.82329735512007995</v>
      </c>
    </row>
    <row r="89" spans="1:60" x14ac:dyDescent="0.6">
      <c r="A89" s="1081"/>
      <c r="B89" s="235" t="s">
        <v>306</v>
      </c>
      <c r="C89" s="241">
        <v>38191</v>
      </c>
      <c r="D89" s="242">
        <v>41786</v>
      </c>
      <c r="E89" s="243">
        <v>42456</v>
      </c>
      <c r="F89" s="152">
        <v>122433</v>
      </c>
      <c r="G89" s="153">
        <v>484151.55385956087</v>
      </c>
      <c r="H89" s="1121"/>
      <c r="I89" s="244">
        <v>-9.2097753333679234E-3</v>
      </c>
      <c r="J89" s="245">
        <v>1.3903380001455851E-2</v>
      </c>
      <c r="K89" s="246">
        <v>1.5805987402392129E-3</v>
      </c>
      <c r="L89" s="247">
        <v>2.3332350918556788E-3</v>
      </c>
      <c r="M89" s="248">
        <v>-2.6105870993270885E-2</v>
      </c>
    </row>
    <row r="90" spans="1:60" x14ac:dyDescent="0.6">
      <c r="A90" s="1081"/>
      <c r="B90" s="226" t="s">
        <v>310</v>
      </c>
      <c r="C90" s="227">
        <v>40629</v>
      </c>
      <c r="D90" s="228">
        <v>44902.820709191597</v>
      </c>
      <c r="E90" s="229">
        <v>45805</v>
      </c>
      <c r="F90" s="152">
        <v>131336.82070919161</v>
      </c>
      <c r="G90" s="153">
        <v>615488.37456875248</v>
      </c>
      <c r="H90" s="1121"/>
      <c r="I90" s="236">
        <v>-3.372416581444574E-2</v>
      </c>
      <c r="J90" s="237">
        <v>-3.6771548808554877E-2</v>
      </c>
      <c r="K90" s="238">
        <v>-6.0583687114173793E-2</v>
      </c>
      <c r="L90" s="239">
        <v>-4.4287923352047232E-2</v>
      </c>
      <c r="M90" s="240">
        <v>-3.0043499430982834E-2</v>
      </c>
    </row>
    <row r="91" spans="1:60" x14ac:dyDescent="0.6">
      <c r="A91" s="1081"/>
      <c r="B91" s="235" t="s">
        <v>314</v>
      </c>
      <c r="C91" s="241">
        <v>37310</v>
      </c>
      <c r="D91" s="242">
        <v>43292.140361930658</v>
      </c>
      <c r="E91" s="243">
        <v>46102</v>
      </c>
      <c r="F91" s="152">
        <v>126704.14036193065</v>
      </c>
      <c r="G91" s="153">
        <v>742192.51493068319</v>
      </c>
      <c r="H91" s="1121"/>
      <c r="I91" s="244">
        <v>-3.5867486691818697E-2</v>
      </c>
      <c r="J91" s="245">
        <v>-3.5723887162984268E-2</v>
      </c>
      <c r="K91" s="246">
        <v>-2.4585308056872038E-2</v>
      </c>
      <c r="L91" s="247">
        <v>-3.1743260924585015E-2</v>
      </c>
      <c r="M91" s="248">
        <v>-3.0334098232381757E-2</v>
      </c>
    </row>
    <row r="92" spans="1:60" x14ac:dyDescent="0.6">
      <c r="A92" s="1081"/>
      <c r="B92" s="226" t="s">
        <v>316</v>
      </c>
      <c r="C92" s="249">
        <v>32469.834451891707</v>
      </c>
      <c r="D92" s="250">
        <v>40295</v>
      </c>
      <c r="E92" s="251">
        <v>44324</v>
      </c>
      <c r="F92" s="152">
        <v>117088.83445189171</v>
      </c>
      <c r="G92" s="153">
        <v>859281.3493825749</v>
      </c>
      <c r="H92" s="1121"/>
      <c r="I92" s="236">
        <v>0</v>
      </c>
      <c r="J92" s="237">
        <v>-1.4647625568543063E-2</v>
      </c>
      <c r="K92" s="238">
        <v>-1.5853279452906436E-2</v>
      </c>
      <c r="L92" s="239">
        <v>-1.1089355212089091E-2</v>
      </c>
      <c r="M92" s="240">
        <v>-2.775593469078308E-2</v>
      </c>
    </row>
    <row r="93" spans="1:60" x14ac:dyDescent="0.6">
      <c r="A93" s="1081"/>
      <c r="B93" s="235" t="s">
        <v>319</v>
      </c>
      <c r="C93" s="241">
        <v>39501</v>
      </c>
      <c r="D93" s="242">
        <v>43816</v>
      </c>
      <c r="E93" s="243">
        <v>47395</v>
      </c>
      <c r="F93" s="152">
        <v>130712</v>
      </c>
      <c r="G93" s="153">
        <v>989993.3493825749</v>
      </c>
      <c r="H93" s="1121"/>
      <c r="I93" s="244">
        <v>7.6014590720097953E-3</v>
      </c>
      <c r="J93" s="245">
        <v>-5.7409970727722434E-3</v>
      </c>
      <c r="K93" s="246">
        <v>1.1158047448370029E-2</v>
      </c>
      <c r="L93" s="247">
        <v>4.3643963609540926E-3</v>
      </c>
      <c r="M93" s="248">
        <v>-2.3633204746392966E-2</v>
      </c>
    </row>
    <row r="94" spans="1:60" x14ac:dyDescent="0.6">
      <c r="A94" s="1081"/>
      <c r="B94" s="226" t="s">
        <v>321</v>
      </c>
      <c r="C94" s="227">
        <v>42149</v>
      </c>
      <c r="D94" s="228">
        <v>44852</v>
      </c>
      <c r="E94" s="229">
        <v>46305</v>
      </c>
      <c r="F94" s="152">
        <v>133306</v>
      </c>
      <c r="G94" s="153">
        <v>1123299.3493825749</v>
      </c>
      <c r="H94" s="1121"/>
      <c r="I94" s="236">
        <v>4.8395556191293569E-3</v>
      </c>
      <c r="J94" s="237">
        <v>-1.7138151305392953E-3</v>
      </c>
      <c r="K94" s="238">
        <v>5.1009333622747989E-3</v>
      </c>
      <c r="L94" s="239">
        <v>2.7154086276279799E-3</v>
      </c>
      <c r="M94" s="240">
        <v>-2.0578960989511397E-2</v>
      </c>
    </row>
    <row r="95" spans="1:60" x14ac:dyDescent="0.6">
      <c r="A95" s="1081"/>
      <c r="B95" s="235" t="s">
        <v>323</v>
      </c>
      <c r="C95" s="227">
        <v>38837.210682722696</v>
      </c>
      <c r="D95" s="228">
        <v>43630</v>
      </c>
      <c r="E95" s="229">
        <v>44120</v>
      </c>
      <c r="F95" s="152">
        <v>126587.2106827227</v>
      </c>
      <c r="G95" s="153">
        <v>1249886.5600652976</v>
      </c>
      <c r="H95" s="1121"/>
      <c r="I95" s="236">
        <v>-6.147239837793441E-2</v>
      </c>
      <c r="J95" s="237">
        <v>-1.5879460459241216E-2</v>
      </c>
      <c r="K95" s="238">
        <v>-3.7185754189944131E-2</v>
      </c>
      <c r="L95" s="239">
        <v>-3.764502784176027E-2</v>
      </c>
      <c r="M95" s="240">
        <v>-2.2334892191468225E-2</v>
      </c>
    </row>
    <row r="96" spans="1:60" x14ac:dyDescent="0.6">
      <c r="A96" s="1081"/>
      <c r="B96" s="226" t="s">
        <v>326</v>
      </c>
      <c r="C96" s="227">
        <v>38914</v>
      </c>
      <c r="D96" s="228">
        <v>45013</v>
      </c>
      <c r="E96" s="229">
        <v>43954</v>
      </c>
      <c r="F96" s="152">
        <v>127881</v>
      </c>
      <c r="G96" s="153">
        <v>1377767.5600652976</v>
      </c>
      <c r="H96" s="1121"/>
      <c r="I96" s="236">
        <v>1.9772098955465056E-3</v>
      </c>
      <c r="J96" s="237">
        <v>1.5223961387523117E-2</v>
      </c>
      <c r="K96" s="238">
        <v>-1.2824256035934869E-2</v>
      </c>
      <c r="L96" s="239">
        <v>1.4157323336487782E-3</v>
      </c>
      <c r="M96" s="240">
        <v>-2.0177953007809668E-2</v>
      </c>
    </row>
    <row r="97" spans="1:23" ht="13.75" thickBot="1" x14ac:dyDescent="0.75">
      <c r="A97" s="1082"/>
      <c r="B97" s="235" t="s">
        <v>327</v>
      </c>
      <c r="C97" s="227">
        <v>39009</v>
      </c>
      <c r="D97" s="228">
        <v>44817</v>
      </c>
      <c r="E97" s="229">
        <v>41196</v>
      </c>
      <c r="F97" s="167">
        <v>125022</v>
      </c>
      <c r="G97" s="153">
        <v>1502789.5600652976</v>
      </c>
      <c r="H97" s="1121"/>
      <c r="I97" s="252">
        <v>-3.6791031877330307E-2</v>
      </c>
      <c r="J97" s="253">
        <v>-2.8610442811626245E-2</v>
      </c>
      <c r="K97" s="254">
        <v>-6.4365205541676129E-2</v>
      </c>
      <c r="L97" s="255">
        <v>-4.3194097929071029E-2</v>
      </c>
      <c r="M97" s="256">
        <v>-2.2134886036500379E-2</v>
      </c>
    </row>
    <row r="98" spans="1:23" ht="13.75" thickBot="1" x14ac:dyDescent="0.75">
      <c r="A98" s="200" t="s">
        <v>329</v>
      </c>
      <c r="B98" s="201"/>
      <c r="C98" s="170">
        <v>38275.29991618127</v>
      </c>
      <c r="D98" s="170">
        <v>43055.996755926855</v>
      </c>
      <c r="E98" s="170">
        <v>43901.166666666664</v>
      </c>
      <c r="F98" s="171">
        <v>125232.4633387748</v>
      </c>
      <c r="G98" s="171"/>
      <c r="H98" s="1122"/>
      <c r="I98" s="202">
        <v>-2.7572023315503791E-2</v>
      </c>
      <c r="J98" s="202">
        <v>-1.6222712701026931E-2</v>
      </c>
      <c r="K98" s="203">
        <v>-2.3130497989942267E-2</v>
      </c>
      <c r="L98" s="204"/>
      <c r="M98" s="203">
        <v>-2.2134886036500379E-2</v>
      </c>
    </row>
    <row r="99" spans="1:23" x14ac:dyDescent="0.6">
      <c r="A99" s="1081">
        <v>2012</v>
      </c>
      <c r="B99" s="226" t="s">
        <v>295</v>
      </c>
      <c r="C99" s="227">
        <v>36756</v>
      </c>
      <c r="D99" s="228">
        <v>40229</v>
      </c>
      <c r="E99" s="229">
        <v>37935</v>
      </c>
      <c r="F99" s="141">
        <v>114920</v>
      </c>
      <c r="G99" s="142">
        <v>114920</v>
      </c>
      <c r="H99" s="1120" t="s">
        <v>350</v>
      </c>
      <c r="I99" s="230">
        <v>6.7309367559091698E-2</v>
      </c>
      <c r="J99" s="231">
        <v>-1.035670356703567E-2</v>
      </c>
      <c r="K99" s="232">
        <v>-6.5272028385570668E-2</v>
      </c>
      <c r="L99" s="233">
        <v>-6.5011411577564626E-3</v>
      </c>
      <c r="M99" s="234">
        <v>-6.5011411577564626E-3</v>
      </c>
    </row>
    <row r="100" spans="1:23" x14ac:dyDescent="0.6">
      <c r="A100" s="1081"/>
      <c r="B100" s="235" t="s">
        <v>299</v>
      </c>
      <c r="C100" s="227">
        <v>39916</v>
      </c>
      <c r="D100" s="228">
        <v>42641</v>
      </c>
      <c r="E100" s="229">
        <v>42098</v>
      </c>
      <c r="F100" s="152">
        <v>124655</v>
      </c>
      <c r="G100" s="153">
        <v>239575</v>
      </c>
      <c r="H100" s="1121"/>
      <c r="I100" s="236">
        <v>4.2792204399393907E-2</v>
      </c>
      <c r="J100" s="237">
        <v>2.5171899793239409E-2</v>
      </c>
      <c r="K100" s="238">
        <v>-2.204261572373255E-3</v>
      </c>
      <c r="L100" s="239">
        <v>2.1234936057609621E-2</v>
      </c>
      <c r="M100" s="240">
        <v>7.7397101815046554E-3</v>
      </c>
    </row>
    <row r="101" spans="1:23" x14ac:dyDescent="0.6">
      <c r="A101" s="1081"/>
      <c r="B101" s="226" t="s">
        <v>303</v>
      </c>
      <c r="C101" s="227">
        <v>40799</v>
      </c>
      <c r="D101" s="228">
        <v>42827.129822515941</v>
      </c>
      <c r="E101" s="229">
        <v>43161</v>
      </c>
      <c r="F101" s="152">
        <v>126787.12982251594</v>
      </c>
      <c r="G101" s="153">
        <v>366362.12982251594</v>
      </c>
      <c r="H101" s="1121"/>
      <c r="I101" s="236">
        <v>3.0862092810823687E-2</v>
      </c>
      <c r="J101" s="237">
        <v>1.9111217935368855E-2</v>
      </c>
      <c r="K101" s="238">
        <v>1.8380444528337501E-2</v>
      </c>
      <c r="L101" s="239">
        <v>2.2612482669521983E-2</v>
      </c>
      <c r="M101" s="240">
        <v>1.2837538780932967E-2</v>
      </c>
    </row>
    <row r="102" spans="1:23" x14ac:dyDescent="0.6">
      <c r="A102" s="1081"/>
      <c r="B102" s="235" t="s">
        <v>306</v>
      </c>
      <c r="C102" s="227">
        <v>37312</v>
      </c>
      <c r="D102" s="228">
        <v>41032</v>
      </c>
      <c r="E102" s="229">
        <v>42770</v>
      </c>
      <c r="F102" s="152">
        <v>121114</v>
      </c>
      <c r="G102" s="153">
        <v>487476.12982251594</v>
      </c>
      <c r="H102" s="1121"/>
      <c r="I102" s="236">
        <v>-2.3015893796967873E-2</v>
      </c>
      <c r="J102" s="237">
        <v>-1.8044321064471354E-2</v>
      </c>
      <c r="K102" s="238">
        <v>7.3958922178255131E-3</v>
      </c>
      <c r="L102" s="239">
        <v>-1.0773239241054333E-2</v>
      </c>
      <c r="M102" s="240">
        <v>6.8668084124736684E-3</v>
      </c>
    </row>
    <row r="103" spans="1:23" x14ac:dyDescent="0.6">
      <c r="A103" s="1081"/>
      <c r="B103" s="226" t="s">
        <v>310</v>
      </c>
      <c r="C103" s="227">
        <v>39532</v>
      </c>
      <c r="D103" s="228">
        <v>44101</v>
      </c>
      <c r="E103" s="229">
        <v>47730</v>
      </c>
      <c r="F103" s="152">
        <v>131363</v>
      </c>
      <c r="G103" s="153">
        <v>618839.12982251588</v>
      </c>
      <c r="H103" s="1121"/>
      <c r="I103" s="236">
        <v>-2.700041842034015E-2</v>
      </c>
      <c r="J103" s="237">
        <v>-1.7856800453238897E-2</v>
      </c>
      <c r="K103" s="238">
        <v>4.2025979696539678E-2</v>
      </c>
      <c r="L103" s="239">
        <v>1.9932940866862481E-4</v>
      </c>
      <c r="M103" s="240">
        <v>5.4440593717324237E-3</v>
      </c>
      <c r="S103">
        <v>2005</v>
      </c>
      <c r="T103">
        <v>116359</v>
      </c>
      <c r="V103" s="32">
        <v>1396313</v>
      </c>
    </row>
    <row r="104" spans="1:23" x14ac:dyDescent="0.6">
      <c r="A104" s="1081"/>
      <c r="B104" s="235" t="s">
        <v>314</v>
      </c>
      <c r="C104" s="227">
        <v>38535</v>
      </c>
      <c r="D104" s="228">
        <v>45391</v>
      </c>
      <c r="E104" s="229">
        <v>49113</v>
      </c>
      <c r="F104" s="152">
        <v>133039</v>
      </c>
      <c r="G104" s="153">
        <v>751878.12982251588</v>
      </c>
      <c r="H104" s="1121"/>
      <c r="I104" s="236">
        <v>3.283302063789869E-2</v>
      </c>
      <c r="J104" s="237">
        <v>4.8481309090344565E-2</v>
      </c>
      <c r="K104" s="238">
        <v>6.5311700143160817E-2</v>
      </c>
      <c r="L104" s="239">
        <v>4.9997258337208361E-2</v>
      </c>
      <c r="M104" s="240">
        <v>1.3050003465391091E-2</v>
      </c>
      <c r="S104">
        <v>2006</v>
      </c>
      <c r="T104">
        <v>120896</v>
      </c>
      <c r="U104" s="121">
        <f t="shared" ref="U104:U117" si="37">(T104-T103)/T103</f>
        <v>3.8991397313486706E-2</v>
      </c>
      <c r="V104" s="32">
        <v>1450748</v>
      </c>
      <c r="W104" s="121">
        <f t="shared" ref="W104:W116" si="38">(V104-V103)/V103</f>
        <v>3.898481214455498E-2</v>
      </c>
    </row>
    <row r="105" spans="1:23" x14ac:dyDescent="0.6">
      <c r="A105" s="1081"/>
      <c r="B105" s="226" t="s">
        <v>316</v>
      </c>
      <c r="C105" s="227">
        <v>35019</v>
      </c>
      <c r="D105" s="228">
        <v>42613</v>
      </c>
      <c r="E105" s="229">
        <v>45682</v>
      </c>
      <c r="F105" s="152">
        <v>123314</v>
      </c>
      <c r="G105" s="153">
        <v>875192.12982251588</v>
      </c>
      <c r="H105" s="1121"/>
      <c r="I105" s="236">
        <v>7.8508732524805863E-2</v>
      </c>
      <c r="J105" s="237">
        <v>5.7525747611366175E-2</v>
      </c>
      <c r="K105" s="238">
        <v>3.0638029058749211E-2</v>
      </c>
      <c r="L105" s="239">
        <v>5.316617572673854E-2</v>
      </c>
      <c r="M105" s="240">
        <v>1.8516380521203413E-2</v>
      </c>
      <c r="S105">
        <v>2007</v>
      </c>
      <c r="T105">
        <v>131844</v>
      </c>
      <c r="U105" s="121">
        <f t="shared" si="37"/>
        <v>9.0557173107464264E-2</v>
      </c>
      <c r="V105" s="32">
        <v>1582122</v>
      </c>
      <c r="W105" s="121">
        <f t="shared" si="38"/>
        <v>9.0556044192375243E-2</v>
      </c>
    </row>
    <row r="106" spans="1:23" x14ac:dyDescent="0.6">
      <c r="A106" s="1081"/>
      <c r="B106" s="235" t="s">
        <v>319</v>
      </c>
      <c r="C106" s="227">
        <v>38080</v>
      </c>
      <c r="D106" s="228">
        <v>44481</v>
      </c>
      <c r="E106" s="229">
        <v>46569</v>
      </c>
      <c r="F106" s="152">
        <v>129130</v>
      </c>
      <c r="G106" s="153">
        <v>1004322.1298225159</v>
      </c>
      <c r="H106" s="1121"/>
      <c r="I106" s="236">
        <v>-3.5973772815878081E-2</v>
      </c>
      <c r="J106" s="237">
        <v>1.5177104254153733E-2</v>
      </c>
      <c r="K106" s="238">
        <v>-1.7427998734043677E-2</v>
      </c>
      <c r="L106" s="239">
        <v>-1.2102943876614258E-2</v>
      </c>
      <c r="M106" s="240">
        <v>1.4473612826669369E-2</v>
      </c>
      <c r="S106">
        <v>2008</v>
      </c>
      <c r="T106">
        <v>132994</v>
      </c>
      <c r="U106" s="121">
        <f t="shared" si="37"/>
        <v>8.7224295379387754E-3</v>
      </c>
      <c r="V106" s="32">
        <v>1595925</v>
      </c>
      <c r="W106" s="121">
        <f t="shared" si="38"/>
        <v>8.7243588041882991E-3</v>
      </c>
    </row>
    <row r="107" spans="1:23" x14ac:dyDescent="0.6">
      <c r="A107" s="1081"/>
      <c r="B107" s="226" t="s">
        <v>321</v>
      </c>
      <c r="C107" s="227">
        <v>40494</v>
      </c>
      <c r="D107" s="228">
        <v>45206</v>
      </c>
      <c r="E107" s="229">
        <v>45960</v>
      </c>
      <c r="F107" s="152">
        <v>131660</v>
      </c>
      <c r="G107" s="153">
        <v>1135982.1298225159</v>
      </c>
      <c r="H107" s="1121"/>
      <c r="I107" s="236">
        <v>-3.9265463000308427E-2</v>
      </c>
      <c r="J107" s="237">
        <v>7.8926246321234274E-3</v>
      </c>
      <c r="K107" s="238">
        <v>-7.4505992873339809E-3</v>
      </c>
      <c r="L107" s="239">
        <v>-1.2347531243904974E-2</v>
      </c>
      <c r="M107" s="240">
        <v>1.1290650570493277E-2</v>
      </c>
      <c r="S107">
        <v>2009</v>
      </c>
      <c r="T107">
        <v>129868</v>
      </c>
      <c r="U107" s="121">
        <f t="shared" si="37"/>
        <v>-2.3504819766305248E-2</v>
      </c>
      <c r="V107" s="32">
        <v>1558410</v>
      </c>
      <c r="W107" s="121">
        <f t="shared" si="38"/>
        <v>-2.3506743737957612E-2</v>
      </c>
    </row>
    <row r="108" spans="1:23" x14ac:dyDescent="0.6">
      <c r="A108" s="1081"/>
      <c r="B108" s="235" t="s">
        <v>323</v>
      </c>
      <c r="C108" s="227">
        <v>40938</v>
      </c>
      <c r="D108" s="228">
        <v>45269</v>
      </c>
      <c r="E108" s="229">
        <v>45129</v>
      </c>
      <c r="F108" s="152">
        <v>131336</v>
      </c>
      <c r="G108" s="153">
        <v>1267318.1298225159</v>
      </c>
      <c r="H108" s="1121"/>
      <c r="I108" s="236">
        <v>5.4092178103096134E-2</v>
      </c>
      <c r="J108" s="237">
        <v>3.7565895026358008E-2</v>
      </c>
      <c r="K108" s="238">
        <v>2.2869446962828648E-2</v>
      </c>
      <c r="L108" s="239">
        <v>3.7513973897249642E-2</v>
      </c>
      <c r="M108" s="240">
        <v>1.3946521479763385E-2</v>
      </c>
      <c r="S108">
        <v>2010</v>
      </c>
      <c r="T108">
        <v>128067</v>
      </c>
      <c r="U108" s="121">
        <f t="shared" si="37"/>
        <v>-1.3867927434009917E-2</v>
      </c>
      <c r="V108" s="32">
        <v>1536807</v>
      </c>
      <c r="W108" s="121">
        <f t="shared" si="38"/>
        <v>-1.386220570966562E-2</v>
      </c>
    </row>
    <row r="109" spans="1:23" x14ac:dyDescent="0.6">
      <c r="A109" s="1081"/>
      <c r="B109" s="226" t="s">
        <v>326</v>
      </c>
      <c r="C109" s="227">
        <v>40371</v>
      </c>
      <c r="D109" s="228">
        <v>45583</v>
      </c>
      <c r="E109" s="229">
        <v>43603</v>
      </c>
      <c r="F109" s="152">
        <v>129557</v>
      </c>
      <c r="G109" s="153">
        <v>1396875.1298225159</v>
      </c>
      <c r="H109" s="1121"/>
      <c r="I109" s="236">
        <v>3.7441537749910055E-2</v>
      </c>
      <c r="J109" s="237">
        <v>1.2663008464221448E-2</v>
      </c>
      <c r="K109" s="238">
        <v>-7.9856213313919105E-3</v>
      </c>
      <c r="L109" s="239">
        <v>1.3105934423409238E-2</v>
      </c>
      <c r="M109" s="240">
        <v>1.3868500254362592E-2</v>
      </c>
      <c r="S109">
        <v>2011</v>
      </c>
      <c r="T109">
        <v>125232</v>
      </c>
      <c r="U109" s="121">
        <f t="shared" si="37"/>
        <v>-2.2136850242451218E-2</v>
      </c>
      <c r="V109" s="32">
        <v>1502790</v>
      </c>
      <c r="W109" s="121">
        <f t="shared" si="38"/>
        <v>-2.2134854929734181E-2</v>
      </c>
    </row>
    <row r="110" spans="1:23" ht="13.75" thickBot="1" x14ac:dyDescent="0.75">
      <c r="A110" s="1082"/>
      <c r="B110" s="235" t="s">
        <v>327</v>
      </c>
      <c r="C110" s="227">
        <v>39019</v>
      </c>
      <c r="D110" s="228">
        <v>46113</v>
      </c>
      <c r="E110" s="229">
        <v>42487</v>
      </c>
      <c r="F110" s="167">
        <v>127619</v>
      </c>
      <c r="G110" s="153">
        <v>1524494.1298225159</v>
      </c>
      <c r="H110" s="1121"/>
      <c r="I110" s="252">
        <v>2.563510984644569E-4</v>
      </c>
      <c r="J110" s="253">
        <v>2.8917598232813441E-2</v>
      </c>
      <c r="K110" s="254">
        <v>3.1337993979998056E-2</v>
      </c>
      <c r="L110" s="255">
        <v>2.0772344067444104E-2</v>
      </c>
      <c r="M110" s="256">
        <v>1.4442853699539349E-2</v>
      </c>
      <c r="S110">
        <v>2012</v>
      </c>
      <c r="T110">
        <v>127041</v>
      </c>
      <c r="U110" s="121">
        <f t="shared" si="37"/>
        <v>1.4445189727865083E-2</v>
      </c>
      <c r="V110" s="32">
        <v>1524494</v>
      </c>
      <c r="W110" s="121">
        <f t="shared" si="38"/>
        <v>1.4442470338503717E-2</v>
      </c>
    </row>
    <row r="111" spans="1:23" ht="13.75" thickBot="1" x14ac:dyDescent="0.75">
      <c r="A111" s="200" t="s">
        <v>329</v>
      </c>
      <c r="B111" s="201"/>
      <c r="C111" s="170">
        <v>38897.583333333336</v>
      </c>
      <c r="D111" s="170">
        <v>43790.510818542993</v>
      </c>
      <c r="E111" s="170">
        <v>44353.083333333336</v>
      </c>
      <c r="F111" s="171">
        <v>127041.17748520966</v>
      </c>
      <c r="G111" s="171"/>
      <c r="H111" s="1122"/>
      <c r="I111" s="202">
        <v>1.6258093823295905E-2</v>
      </c>
      <c r="J111" s="202">
        <v>1.7059506641546429E-2</v>
      </c>
      <c r="K111" s="203">
        <v>1.0293955741495164E-2</v>
      </c>
      <c r="L111" s="204"/>
      <c r="M111" s="203">
        <v>1.4442853699539349E-2</v>
      </c>
      <c r="S111">
        <v>2013</v>
      </c>
      <c r="T111">
        <v>130624</v>
      </c>
      <c r="U111" s="121">
        <f t="shared" si="37"/>
        <v>2.8203493360411207E-2</v>
      </c>
      <c r="V111" s="32">
        <v>1567492</v>
      </c>
      <c r="W111" s="121">
        <f t="shared" si="38"/>
        <v>2.8204768270652426E-2</v>
      </c>
    </row>
    <row r="112" spans="1:23" x14ac:dyDescent="0.6">
      <c r="A112" s="1123" t="s">
        <v>351</v>
      </c>
      <c r="B112" s="226" t="s">
        <v>295</v>
      </c>
      <c r="C112" s="227">
        <v>38446</v>
      </c>
      <c r="D112" s="228">
        <v>42881</v>
      </c>
      <c r="E112" s="229">
        <v>41350</v>
      </c>
      <c r="F112" s="141">
        <v>122677</v>
      </c>
      <c r="G112" s="142">
        <v>122677</v>
      </c>
      <c r="H112" s="1120" t="s">
        <v>352</v>
      </c>
      <c r="I112" s="230">
        <v>4.5978887800631189E-2</v>
      </c>
      <c r="J112" s="231">
        <v>6.5922593154192244E-2</v>
      </c>
      <c r="K112" s="232">
        <v>9.0022406748385395E-2</v>
      </c>
      <c r="L112" s="233">
        <v>6.7499129829446503E-2</v>
      </c>
      <c r="M112" s="234">
        <v>6.7499129829446503E-2</v>
      </c>
      <c r="Q112" s="1120" t="s">
        <v>353</v>
      </c>
      <c r="S112">
        <v>2014</v>
      </c>
      <c r="T112">
        <v>134529</v>
      </c>
      <c r="U112" s="121">
        <f t="shared" si="37"/>
        <v>2.9894965703086723E-2</v>
      </c>
      <c r="V112" s="32">
        <v>1614346</v>
      </c>
      <c r="W112" s="121">
        <f t="shared" si="38"/>
        <v>2.9891061644971711E-2</v>
      </c>
    </row>
    <row r="113" spans="1:24" x14ac:dyDescent="0.6">
      <c r="A113" s="1124"/>
      <c r="B113" s="235" t="s">
        <v>299</v>
      </c>
      <c r="C113" s="227">
        <v>40169</v>
      </c>
      <c r="D113" s="228">
        <v>44492</v>
      </c>
      <c r="E113" s="229">
        <v>43946</v>
      </c>
      <c r="F113" s="152">
        <v>128607</v>
      </c>
      <c r="G113" s="153">
        <v>251284</v>
      </c>
      <c r="H113" s="1121"/>
      <c r="I113" s="236">
        <v>6.3383104519490934E-3</v>
      </c>
      <c r="J113" s="237">
        <v>4.340892568185549E-2</v>
      </c>
      <c r="K113" s="238">
        <v>4.3897572331227139E-2</v>
      </c>
      <c r="L113" s="239">
        <v>3.1703501664594347E-2</v>
      </c>
      <c r="M113" s="240">
        <v>4.8874047792966779E-2</v>
      </c>
      <c r="Q113" s="1121"/>
      <c r="S113">
        <v>2015</v>
      </c>
      <c r="T113">
        <v>140215</v>
      </c>
      <c r="U113" s="121">
        <f t="shared" si="37"/>
        <v>4.226597982591114E-2</v>
      </c>
      <c r="V113" s="32">
        <v>1682585</v>
      </c>
      <c r="W113" s="121">
        <f t="shared" si="38"/>
        <v>4.2270368310139216E-2</v>
      </c>
    </row>
    <row r="114" spans="1:24" x14ac:dyDescent="0.6">
      <c r="A114" s="1124"/>
      <c r="B114" s="226" t="s">
        <v>303</v>
      </c>
      <c r="C114" s="227">
        <v>38554</v>
      </c>
      <c r="D114" s="228">
        <v>43020</v>
      </c>
      <c r="E114" s="229">
        <v>43475</v>
      </c>
      <c r="F114" s="152">
        <v>125049</v>
      </c>
      <c r="G114" s="153">
        <v>376333</v>
      </c>
      <c r="H114" s="1121"/>
      <c r="I114" s="236">
        <v>-5.5025858476923456E-2</v>
      </c>
      <c r="J114" s="237">
        <v>4.5034579315343156E-3</v>
      </c>
      <c r="K114" s="238">
        <v>7.2750863047658767E-3</v>
      </c>
      <c r="L114" s="239">
        <v>-1.3709039907671028E-2</v>
      </c>
      <c r="M114" s="240">
        <v>2.7215886593721983E-2</v>
      </c>
      <c r="Q114" s="1121"/>
      <c r="S114">
        <v>2016</v>
      </c>
      <c r="T114">
        <v>150300</v>
      </c>
      <c r="U114" s="121">
        <f t="shared" si="37"/>
        <v>7.1925257640052781E-2</v>
      </c>
      <c r="V114" s="32">
        <v>1803811</v>
      </c>
      <c r="W114" s="121">
        <f t="shared" si="38"/>
        <v>7.2047474570378314E-2</v>
      </c>
    </row>
    <row r="115" spans="1:24" x14ac:dyDescent="0.6">
      <c r="A115" s="1124"/>
      <c r="B115" s="235" t="s">
        <v>306</v>
      </c>
      <c r="C115" s="257">
        <v>41025.992454615342</v>
      </c>
      <c r="D115" s="228">
        <v>45251</v>
      </c>
      <c r="E115" s="229">
        <v>45048</v>
      </c>
      <c r="F115" s="152">
        <v>131324.99245461533</v>
      </c>
      <c r="G115" s="153">
        <v>507657.99245461531</v>
      </c>
      <c r="H115" s="1121"/>
      <c r="I115" s="236">
        <v>9.9538820074382015E-2</v>
      </c>
      <c r="J115" s="237">
        <v>0.10282218756092805</v>
      </c>
      <c r="K115" s="238">
        <v>5.3261631985036244E-2</v>
      </c>
      <c r="L115" s="239">
        <v>8.4308935834134235E-2</v>
      </c>
      <c r="M115" s="240">
        <v>4.1400719742825887E-2</v>
      </c>
      <c r="Q115" s="1121"/>
      <c r="S115">
        <v>2017</v>
      </c>
      <c r="T115">
        <v>162347</v>
      </c>
      <c r="U115" s="121">
        <f t="shared" si="37"/>
        <v>8.0153027278775782E-2</v>
      </c>
      <c r="V115" s="32">
        <v>1948165</v>
      </c>
      <c r="W115" s="121">
        <f t="shared" si="38"/>
        <v>8.0027231234314461E-2</v>
      </c>
    </row>
    <row r="116" spans="1:24" x14ac:dyDescent="0.6">
      <c r="A116" s="1124"/>
      <c r="B116" s="226" t="s">
        <v>310</v>
      </c>
      <c r="C116" s="257">
        <v>41638.072431964101</v>
      </c>
      <c r="D116" s="228">
        <v>46760</v>
      </c>
      <c r="E116" s="229">
        <v>46681</v>
      </c>
      <c r="F116" s="152">
        <v>135079.0724319641</v>
      </c>
      <c r="G116" s="153">
        <v>642737.06488657941</v>
      </c>
      <c r="H116" s="1121"/>
      <c r="I116" s="258">
        <v>5.3275129817972812E-2</v>
      </c>
      <c r="J116" s="237">
        <v>6.0293417382825787E-2</v>
      </c>
      <c r="K116" s="238">
        <v>-2.1977791745233604E-2</v>
      </c>
      <c r="L116" s="239">
        <v>2.8288577696642836E-2</v>
      </c>
      <c r="M116" s="240">
        <v>3.8617362594568716E-2</v>
      </c>
      <c r="Q116" s="1121"/>
      <c r="S116">
        <v>2018</v>
      </c>
      <c r="T116">
        <v>166900</v>
      </c>
      <c r="U116" s="121">
        <f t="shared" si="37"/>
        <v>2.8044866859258256E-2</v>
      </c>
      <c r="V116" s="32">
        <v>2002797</v>
      </c>
      <c r="W116" s="121">
        <f t="shared" si="38"/>
        <v>2.8042799249550217E-2</v>
      </c>
      <c r="X116" s="121">
        <f>(V117-V115)/V115</f>
        <v>3.9440704457784637E-2</v>
      </c>
    </row>
    <row r="117" spans="1:24" x14ac:dyDescent="0.6">
      <c r="A117" s="1124"/>
      <c r="B117" s="235" t="s">
        <v>314</v>
      </c>
      <c r="C117" s="257">
        <v>38222.105951478632</v>
      </c>
      <c r="D117" s="228">
        <v>47287</v>
      </c>
      <c r="E117" s="229">
        <v>47928</v>
      </c>
      <c r="F117" s="152">
        <v>133437.10595147865</v>
      </c>
      <c r="G117" s="153">
        <v>776174.17083805799</v>
      </c>
      <c r="H117" s="1121"/>
      <c r="I117" s="258">
        <v>-8.1197365647169579E-3</v>
      </c>
      <c r="J117" s="237">
        <v>4.1770395012227096E-2</v>
      </c>
      <c r="K117" s="238">
        <v>-2.412803127481522E-2</v>
      </c>
      <c r="L117" s="239">
        <v>2.9924003598842397E-3</v>
      </c>
      <c r="M117" s="240">
        <v>3.2313802000434988E-2</v>
      </c>
      <c r="Q117" s="1121"/>
      <c r="S117">
        <v>2019</v>
      </c>
      <c r="T117">
        <v>168750</v>
      </c>
      <c r="U117" s="121">
        <f t="shared" si="37"/>
        <v>1.1084481725584181E-2</v>
      </c>
      <c r="V117" s="32">
        <v>2025002</v>
      </c>
      <c r="W117" s="121">
        <f>(V117-V116)/V116</f>
        <v>1.1086994837719449E-2</v>
      </c>
    </row>
    <row r="118" spans="1:24" x14ac:dyDescent="0.6">
      <c r="A118" s="1124"/>
      <c r="B118" s="226" t="s">
        <v>316</v>
      </c>
      <c r="C118" s="257">
        <v>35270.866740609854</v>
      </c>
      <c r="D118" s="228">
        <v>45276.189877627912</v>
      </c>
      <c r="E118" s="229">
        <v>46438</v>
      </c>
      <c r="F118" s="152">
        <v>126985.05661823777</v>
      </c>
      <c r="G118" s="153">
        <v>903159.22745629575</v>
      </c>
      <c r="H118" s="1121"/>
      <c r="I118" s="258">
        <v>7.1922882038280324E-3</v>
      </c>
      <c r="J118" s="237">
        <v>6.2497122418696462E-2</v>
      </c>
      <c r="K118" s="238">
        <v>1.6549187863928901E-2</v>
      </c>
      <c r="L118" s="239">
        <v>2.9769990578829342E-2</v>
      </c>
      <c r="M118" s="240">
        <v>3.195538063105241E-2</v>
      </c>
      <c r="Q118" s="1121"/>
    </row>
    <row r="119" spans="1:24" x14ac:dyDescent="0.6">
      <c r="A119" s="1124"/>
      <c r="B119" s="235" t="s">
        <v>319</v>
      </c>
      <c r="C119" s="257">
        <v>40374.267105126455</v>
      </c>
      <c r="D119" s="228">
        <v>46420.427353601655</v>
      </c>
      <c r="E119" s="229">
        <v>47179</v>
      </c>
      <c r="F119" s="152">
        <v>133973.6944587281</v>
      </c>
      <c r="G119" s="153">
        <v>1037132.9219150238</v>
      </c>
      <c r="H119" s="1121"/>
      <c r="I119" s="258">
        <v>6.024861095395103E-2</v>
      </c>
      <c r="J119" s="237">
        <v>4.3601253425095104E-2</v>
      </c>
      <c r="K119" s="259">
        <v>1.3098842577680431E-2</v>
      </c>
      <c r="L119" s="260">
        <v>3.7510218064958689E-2</v>
      </c>
      <c r="M119" s="261">
        <v>3.266958988378188E-2</v>
      </c>
      <c r="Q119" s="1121"/>
    </row>
    <row r="120" spans="1:24" x14ac:dyDescent="0.6">
      <c r="A120" s="1124"/>
      <c r="B120" s="226" t="s">
        <v>321</v>
      </c>
      <c r="C120" s="257">
        <v>42472.023969770264</v>
      </c>
      <c r="D120" s="228">
        <v>43342</v>
      </c>
      <c r="E120" s="229">
        <v>46766</v>
      </c>
      <c r="F120" s="152">
        <v>132580.02396977026</v>
      </c>
      <c r="G120" s="153">
        <v>1169712.945884794</v>
      </c>
      <c r="H120" s="1121"/>
      <c r="I120" s="258">
        <v>4.8847334661190886E-2</v>
      </c>
      <c r="J120" s="237">
        <v>-4.1233464584347214E-2</v>
      </c>
      <c r="K120" s="238">
        <v>1.7536988685813749E-2</v>
      </c>
      <c r="L120" s="239">
        <v>6.9878776376293139E-3</v>
      </c>
      <c r="M120" s="240">
        <v>2.9693086868847196E-2</v>
      </c>
      <c r="Q120" s="1121"/>
    </row>
    <row r="121" spans="1:24" x14ac:dyDescent="0.6">
      <c r="A121" s="1124"/>
      <c r="B121" s="235" t="s">
        <v>323</v>
      </c>
      <c r="C121" s="257">
        <v>41749.008322299123</v>
      </c>
      <c r="D121" s="228">
        <v>47052</v>
      </c>
      <c r="E121" s="229">
        <v>46704</v>
      </c>
      <c r="F121" s="152">
        <v>135505.00832229911</v>
      </c>
      <c r="G121" s="153">
        <v>1305217.954207093</v>
      </c>
      <c r="H121" s="1121"/>
      <c r="I121" s="258">
        <v>1.9810648353586483E-2</v>
      </c>
      <c r="J121" s="237">
        <v>3.9386776822991451E-2</v>
      </c>
      <c r="K121" s="238">
        <v>3.4899953466728709E-2</v>
      </c>
      <c r="L121" s="239">
        <v>3.1743073660680299E-2</v>
      </c>
      <c r="M121" s="240">
        <v>2.9905533182804644E-2</v>
      </c>
      <c r="Q121" s="1121"/>
    </row>
    <row r="122" spans="1:24" x14ac:dyDescent="0.6">
      <c r="A122" s="1124"/>
      <c r="B122" s="226" t="s">
        <v>326</v>
      </c>
      <c r="C122" s="257">
        <v>40370.91955089409</v>
      </c>
      <c r="D122" s="228">
        <v>46729</v>
      </c>
      <c r="E122" s="229">
        <v>44895</v>
      </c>
      <c r="F122" s="152">
        <v>131994.91955089409</v>
      </c>
      <c r="G122" s="153">
        <v>1437212.8737579871</v>
      </c>
      <c r="H122" s="1121"/>
      <c r="I122" s="258">
        <v>-1.9927449384407796E-6</v>
      </c>
      <c r="J122" s="237">
        <v>2.5140951670578945E-2</v>
      </c>
      <c r="K122" s="238">
        <v>2.9630988693438526E-2</v>
      </c>
      <c r="L122" s="239">
        <v>1.8817351057017984E-2</v>
      </c>
      <c r="M122" s="240">
        <v>2.8877129440049831E-2</v>
      </c>
      <c r="Q122" s="1121"/>
      <c r="S122" s="121">
        <f>(V117-V110)/V110</f>
        <v>0.32831090184677669</v>
      </c>
    </row>
    <row r="123" spans="1:24" ht="13.75" thickBot="1" x14ac:dyDescent="0.75">
      <c r="A123" s="1125"/>
      <c r="B123" s="235" t="s">
        <v>327</v>
      </c>
      <c r="C123" s="257">
        <v>40251.689862017127</v>
      </c>
      <c r="D123" s="228">
        <v>47091</v>
      </c>
      <c r="E123" s="229">
        <v>42936</v>
      </c>
      <c r="F123" s="167">
        <v>130278.68986201713</v>
      </c>
      <c r="G123" s="153">
        <v>1567491.5636200041</v>
      </c>
      <c r="H123" s="1121"/>
      <c r="I123" s="258">
        <v>3.1592041364902401E-2</v>
      </c>
      <c r="J123" s="237">
        <v>2.1208769761238696E-2</v>
      </c>
      <c r="K123" s="254">
        <v>1.0567938428225104E-2</v>
      </c>
      <c r="L123" s="255">
        <v>2.0840861172843672E-2</v>
      </c>
      <c r="M123" s="256">
        <v>2.8204394465260352E-2</v>
      </c>
      <c r="Q123" s="1121"/>
    </row>
    <row r="124" spans="1:24" ht="13.75" thickBot="1" x14ac:dyDescent="0.75">
      <c r="A124" s="200" t="s">
        <v>329</v>
      </c>
      <c r="B124" s="201"/>
      <c r="C124" s="170">
        <v>39878.66219906458</v>
      </c>
      <c r="D124" s="170">
        <v>45466.801435935799</v>
      </c>
      <c r="E124" s="170">
        <v>45278.833333333336</v>
      </c>
      <c r="F124" s="171">
        <v>130624.29696833367</v>
      </c>
      <c r="G124" s="171"/>
      <c r="H124" s="1122"/>
      <c r="I124" s="262">
        <v>2.5222103319989753E-2</v>
      </c>
      <c r="J124" s="262">
        <v>3.8279768517406332E-2</v>
      </c>
      <c r="K124" s="203">
        <v>2.087228058177093E-2</v>
      </c>
      <c r="L124" s="204"/>
      <c r="M124" s="203">
        <v>2.8204394465260352E-2</v>
      </c>
      <c r="Q124" s="1122"/>
    </row>
    <row r="125" spans="1:24" x14ac:dyDescent="0.6">
      <c r="A125" s="1081">
        <v>2014</v>
      </c>
      <c r="B125" s="226" t="s">
        <v>295</v>
      </c>
      <c r="C125" s="263">
        <v>39107.855064252552</v>
      </c>
      <c r="D125" s="264">
        <v>45437</v>
      </c>
      <c r="E125" s="265">
        <v>43038</v>
      </c>
      <c r="F125" s="266">
        <v>127582.85506425255</v>
      </c>
      <c r="G125" s="267">
        <v>127582.85506425255</v>
      </c>
      <c r="H125" s="1120" t="s">
        <v>354</v>
      </c>
      <c r="I125" s="268">
        <v>1.7215186605955144E-2</v>
      </c>
      <c r="J125" s="269">
        <v>5.9606818870828575E-2</v>
      </c>
      <c r="K125" s="270">
        <v>4.0822249093107617E-2</v>
      </c>
      <c r="L125" s="271">
        <v>3.9990014951886366E-2</v>
      </c>
      <c r="M125" s="272">
        <v>3.9990014951886366E-2</v>
      </c>
    </row>
    <row r="126" spans="1:24" x14ac:dyDescent="0.6">
      <c r="A126" s="1081"/>
      <c r="B126" s="235" t="s">
        <v>299</v>
      </c>
      <c r="C126" s="263">
        <v>40949</v>
      </c>
      <c r="D126" s="264">
        <v>46627</v>
      </c>
      <c r="E126" s="265">
        <v>45744</v>
      </c>
      <c r="F126" s="273">
        <v>133320</v>
      </c>
      <c r="G126" s="274">
        <v>260902.85506425257</v>
      </c>
      <c r="H126" s="1121"/>
      <c r="I126" s="275">
        <v>1.9417959122706566E-2</v>
      </c>
      <c r="J126" s="276">
        <v>4.7986154814348647E-2</v>
      </c>
      <c r="K126" s="277">
        <v>4.0913848814454104E-2</v>
      </c>
      <c r="L126" s="278">
        <v>3.6646527793976924E-2</v>
      </c>
      <c r="M126" s="279">
        <v>3.8278820236276712E-2</v>
      </c>
    </row>
    <row r="127" spans="1:24" x14ac:dyDescent="0.6">
      <c r="A127" s="1081"/>
      <c r="B127" s="226" t="s">
        <v>303</v>
      </c>
      <c r="C127" s="263">
        <v>40977</v>
      </c>
      <c r="D127" s="264">
        <v>46559</v>
      </c>
      <c r="E127" s="265">
        <v>45640</v>
      </c>
      <c r="F127" s="273">
        <v>133176</v>
      </c>
      <c r="G127" s="274">
        <v>394078.85506425257</v>
      </c>
      <c r="H127" s="1121"/>
      <c r="I127" s="275">
        <v>6.2846916013902576E-2</v>
      </c>
      <c r="J127" s="276">
        <v>8.2264063226406323E-2</v>
      </c>
      <c r="K127" s="277">
        <v>4.9798734905117881E-2</v>
      </c>
      <c r="L127" s="278">
        <v>6.4990523714703929E-2</v>
      </c>
      <c r="M127" s="279">
        <v>4.7154661069458648E-2</v>
      </c>
    </row>
    <row r="128" spans="1:24" x14ac:dyDescent="0.6">
      <c r="A128" s="1081"/>
      <c r="B128" s="235" t="s">
        <v>306</v>
      </c>
      <c r="C128" s="263">
        <v>39242</v>
      </c>
      <c r="D128" s="264">
        <v>46152</v>
      </c>
      <c r="E128" s="265">
        <v>45797</v>
      </c>
      <c r="F128" s="273">
        <v>131191</v>
      </c>
      <c r="G128" s="274">
        <v>525269.85506425262</v>
      </c>
      <c r="H128" s="1121"/>
      <c r="I128" s="275">
        <v>-4.3484443589972097E-2</v>
      </c>
      <c r="J128" s="276">
        <v>1.991116218426112E-2</v>
      </c>
      <c r="K128" s="277">
        <v>1.6626709287870717E-2</v>
      </c>
      <c r="L128" s="278">
        <v>-1.0203119155832718E-3</v>
      </c>
      <c r="M128" s="279">
        <v>3.469237729220187E-2</v>
      </c>
    </row>
    <row r="129" spans="1:13" x14ac:dyDescent="0.6">
      <c r="A129" s="1081"/>
      <c r="B129" s="226" t="s">
        <v>310</v>
      </c>
      <c r="C129" s="263">
        <v>41187</v>
      </c>
      <c r="D129" s="264">
        <v>49731</v>
      </c>
      <c r="E129" s="265">
        <v>49186</v>
      </c>
      <c r="F129" s="273">
        <v>140104</v>
      </c>
      <c r="G129" s="274">
        <v>665373.85506425262</v>
      </c>
      <c r="H129" s="1121"/>
      <c r="I129" s="275">
        <v>-1.0833172757964383E-2</v>
      </c>
      <c r="J129" s="276">
        <v>6.3537211291702311E-2</v>
      </c>
      <c r="K129" s="277">
        <v>5.3662089501081811E-2</v>
      </c>
      <c r="L129" s="278">
        <v>3.7199896901622731E-2</v>
      </c>
      <c r="M129" s="279">
        <v>3.5219363273639503E-2</v>
      </c>
    </row>
    <row r="130" spans="1:13" x14ac:dyDescent="0.6">
      <c r="A130" s="1081"/>
      <c r="B130" s="235" t="s">
        <v>314</v>
      </c>
      <c r="C130" s="263">
        <v>38352</v>
      </c>
      <c r="D130" s="264">
        <v>48225</v>
      </c>
      <c r="E130" s="265">
        <v>49375</v>
      </c>
      <c r="F130" s="273">
        <v>135952</v>
      </c>
      <c r="G130" s="274">
        <v>801325.85506425262</v>
      </c>
      <c r="H130" s="1121"/>
      <c r="I130" s="275">
        <v>3.3984011421626797E-3</v>
      </c>
      <c r="J130" s="276">
        <v>1.9836318649946075E-2</v>
      </c>
      <c r="K130" s="277">
        <v>3.0191120013353362E-2</v>
      </c>
      <c r="L130" s="278">
        <v>1.8847036816249885E-2</v>
      </c>
      <c r="M130" s="279">
        <v>3.2404691074733316E-2</v>
      </c>
    </row>
    <row r="131" spans="1:13" x14ac:dyDescent="0.6">
      <c r="A131" s="1081"/>
      <c r="B131" s="226" t="s">
        <v>316</v>
      </c>
      <c r="C131" s="263">
        <v>36809</v>
      </c>
      <c r="D131" s="264">
        <v>46148.967300339005</v>
      </c>
      <c r="E131" s="265">
        <v>47953</v>
      </c>
      <c r="F131" s="273">
        <v>130910.96730033901</v>
      </c>
      <c r="G131" s="274">
        <v>932236.82236459164</v>
      </c>
      <c r="H131" s="1121"/>
      <c r="I131" s="275">
        <v>4.3609171010792994E-2</v>
      </c>
      <c r="J131" s="276">
        <v>1.9276741816615494E-2</v>
      </c>
      <c r="K131" s="277">
        <v>3.2624144019983634E-2</v>
      </c>
      <c r="L131" s="278">
        <v>3.0916320287228238E-2</v>
      </c>
      <c r="M131" s="279">
        <v>3.2195424709540399E-2</v>
      </c>
    </row>
    <row r="132" spans="1:13" x14ac:dyDescent="0.6">
      <c r="A132" s="1081"/>
      <c r="B132" s="235" t="s">
        <v>319</v>
      </c>
      <c r="C132" s="263">
        <v>38081</v>
      </c>
      <c r="D132" s="264">
        <v>47806</v>
      </c>
      <c r="E132" s="265">
        <v>49296</v>
      </c>
      <c r="F132" s="273">
        <v>135183</v>
      </c>
      <c r="G132" s="274">
        <v>1067419.8223645915</v>
      </c>
      <c r="H132" s="1121"/>
      <c r="I132" s="275">
        <v>-5.6800216314893091E-2</v>
      </c>
      <c r="J132" s="276">
        <v>2.9848338875554131E-2</v>
      </c>
      <c r="K132" s="277">
        <v>4.4871659000826639E-2</v>
      </c>
      <c r="L132" s="278">
        <v>9.0264401990081122E-3</v>
      </c>
      <c r="M132" s="279">
        <v>2.9202525355809028E-2</v>
      </c>
    </row>
    <row r="133" spans="1:13" x14ac:dyDescent="0.6">
      <c r="A133" s="1081"/>
      <c r="B133" s="226" t="s">
        <v>321</v>
      </c>
      <c r="C133" s="263">
        <v>42177</v>
      </c>
      <c r="D133" s="264">
        <v>49515.339905179106</v>
      </c>
      <c r="E133" s="265">
        <v>48477</v>
      </c>
      <c r="F133" s="273">
        <v>140169.33990517911</v>
      </c>
      <c r="G133" s="274">
        <v>1207589.1622697706</v>
      </c>
      <c r="H133" s="1121"/>
      <c r="I133" s="280">
        <v>-6.94631294190851E-3</v>
      </c>
      <c r="J133" s="276">
        <v>0.14243320347882205</v>
      </c>
      <c r="K133" s="277">
        <v>3.6586408929564211E-2</v>
      </c>
      <c r="L133" s="278">
        <v>5.724328377809984E-2</v>
      </c>
      <c r="M133" s="279">
        <v>3.2380778992170844E-2</v>
      </c>
    </row>
    <row r="134" spans="1:13" x14ac:dyDescent="0.6">
      <c r="A134" s="1081"/>
      <c r="B134" s="235" t="s">
        <v>323</v>
      </c>
      <c r="C134" s="263">
        <v>42413</v>
      </c>
      <c r="D134" s="264">
        <v>49716</v>
      </c>
      <c r="E134" s="265">
        <v>48109</v>
      </c>
      <c r="F134" s="273">
        <v>140238</v>
      </c>
      <c r="G134" s="274">
        <v>1347827.1622697706</v>
      </c>
      <c r="H134" s="1121"/>
      <c r="I134" s="280">
        <v>1.5904370052934241E-2</v>
      </c>
      <c r="J134" s="276">
        <v>5.6618209640397855E-2</v>
      </c>
      <c r="K134" s="277">
        <v>3.0083076396026035E-2</v>
      </c>
      <c r="L134" s="278">
        <v>3.4928536858530368E-2</v>
      </c>
      <c r="M134" s="279">
        <v>3.264528190509175E-2</v>
      </c>
    </row>
    <row r="135" spans="1:13" x14ac:dyDescent="0.6">
      <c r="A135" s="1081"/>
      <c r="B135" s="226" t="s">
        <v>326</v>
      </c>
      <c r="C135" s="263">
        <v>41325</v>
      </c>
      <c r="D135" s="264">
        <v>47521</v>
      </c>
      <c r="E135" s="265">
        <v>46984</v>
      </c>
      <c r="F135" s="273">
        <v>135830</v>
      </c>
      <c r="G135" s="274">
        <v>1483657.1622697706</v>
      </c>
      <c r="H135" s="1121"/>
      <c r="I135" s="280">
        <v>2.3632863945621467E-2</v>
      </c>
      <c r="J135" s="276">
        <v>1.6948789830726101E-2</v>
      </c>
      <c r="K135" s="277">
        <v>4.6530794075064039E-2</v>
      </c>
      <c r="L135" s="278">
        <v>2.9054758032768024E-2</v>
      </c>
      <c r="M135" s="279">
        <v>3.23155249718452E-2</v>
      </c>
    </row>
    <row r="136" spans="1:13" ht="13.75" thickBot="1" x14ac:dyDescent="0.75">
      <c r="A136" s="1082"/>
      <c r="B136" s="235" t="s">
        <v>327</v>
      </c>
      <c r="C136" s="263">
        <v>39046</v>
      </c>
      <c r="D136" s="264">
        <v>48042</v>
      </c>
      <c r="E136" s="265">
        <v>43601</v>
      </c>
      <c r="F136" s="273">
        <v>130689</v>
      </c>
      <c r="G136" s="274">
        <v>1614346.1622697706</v>
      </c>
      <c r="H136" s="1121"/>
      <c r="I136" s="281">
        <v>-2.9953770044195267E-2</v>
      </c>
      <c r="J136" s="282">
        <v>2.019494170860674E-2</v>
      </c>
      <c r="K136" s="283">
        <v>1.548816843674306E-2</v>
      </c>
      <c r="L136" s="284">
        <v>3.1494800755016428E-3</v>
      </c>
      <c r="M136" s="285">
        <v>2.9891451882241293E-2</v>
      </c>
    </row>
    <row r="137" spans="1:13" ht="13.75" thickBot="1" x14ac:dyDescent="0.75">
      <c r="A137" s="200" t="s">
        <v>329</v>
      </c>
      <c r="B137" s="201"/>
      <c r="C137" s="286">
        <v>39972.154588687714</v>
      </c>
      <c r="D137" s="286">
        <v>47623.358933793177</v>
      </c>
      <c r="E137" s="286">
        <v>46933.333333333336</v>
      </c>
      <c r="F137" s="287">
        <v>134528.84685581422</v>
      </c>
      <c r="G137" s="287"/>
      <c r="H137" s="1122"/>
      <c r="I137" s="288">
        <v>2.3444214140495578E-3</v>
      </c>
      <c r="J137" s="288">
        <v>4.7431475928563893E-2</v>
      </c>
      <c r="K137" s="289">
        <v>3.6540252435832699E-2</v>
      </c>
      <c r="L137" s="290"/>
      <c r="M137" s="291">
        <v>2.9891451882241293E-2</v>
      </c>
    </row>
    <row r="138" spans="1:13" x14ac:dyDescent="0.6">
      <c r="A138" s="1081">
        <v>2015</v>
      </c>
      <c r="B138" s="226" t="s">
        <v>295</v>
      </c>
      <c r="C138" s="263">
        <v>38668.516129032258</v>
      </c>
      <c r="D138" s="264">
        <v>46015.741935483871</v>
      </c>
      <c r="E138" s="265">
        <v>43100.096774193546</v>
      </c>
      <c r="F138" s="266">
        <v>127784.35483870967</v>
      </c>
      <c r="G138" s="267">
        <v>127784.35483870967</v>
      </c>
      <c r="H138" s="1120" t="s">
        <v>355</v>
      </c>
      <c r="I138" s="268">
        <v>-1.1234033022227341E-2</v>
      </c>
      <c r="J138" s="269">
        <v>1.2737239154958981E-2</v>
      </c>
      <c r="K138" s="270">
        <v>1.4428359634171097E-3</v>
      </c>
      <c r="L138" s="271">
        <v>1.5793640482151261E-3</v>
      </c>
      <c r="M138" s="272">
        <v>1.5793640482151261E-3</v>
      </c>
    </row>
    <row r="139" spans="1:13" x14ac:dyDescent="0.6">
      <c r="A139" s="1081"/>
      <c r="B139" s="235" t="s">
        <v>299</v>
      </c>
      <c r="C139" s="263">
        <v>40262.571428571428</v>
      </c>
      <c r="D139" s="264">
        <v>47010.821428571428</v>
      </c>
      <c r="E139" s="265">
        <v>44966.642857142855</v>
      </c>
      <c r="F139" s="273">
        <v>132240.03571428571</v>
      </c>
      <c r="G139" s="274">
        <v>260024.39055299538</v>
      </c>
      <c r="H139" s="1121"/>
      <c r="I139" s="275">
        <v>-1.676301183004646E-2</v>
      </c>
      <c r="J139" s="276">
        <v>8.2317418785559336E-3</v>
      </c>
      <c r="K139" s="277">
        <v>-1.6993641632938636E-2</v>
      </c>
      <c r="L139" s="278">
        <v>-8.1005421970768987E-3</v>
      </c>
      <c r="M139" s="279">
        <v>-3.367017624398394E-3</v>
      </c>
    </row>
    <row r="140" spans="1:13" x14ac:dyDescent="0.6">
      <c r="A140" s="1081"/>
      <c r="B140" s="226" t="s">
        <v>303</v>
      </c>
      <c r="C140" s="263">
        <v>41761.709677419356</v>
      </c>
      <c r="D140" s="264">
        <v>48792.290322580644</v>
      </c>
      <c r="E140" s="265">
        <v>46990.354838709674</v>
      </c>
      <c r="F140" s="273">
        <v>137544.35483870967</v>
      </c>
      <c r="G140" s="274">
        <v>397568.74539170507</v>
      </c>
      <c r="H140" s="1121"/>
      <c r="I140" s="275">
        <v>1.9150003109533544E-2</v>
      </c>
      <c r="J140" s="276">
        <v>4.7966887660401726E-2</v>
      </c>
      <c r="K140" s="277">
        <v>2.9587091119843874E-2</v>
      </c>
      <c r="L140" s="278">
        <v>3.2801366903268292E-2</v>
      </c>
      <c r="M140" s="279">
        <v>8.8558172624702003E-3</v>
      </c>
    </row>
    <row r="141" spans="1:13" x14ac:dyDescent="0.6">
      <c r="A141" s="1081"/>
      <c r="B141" s="235" t="s">
        <v>306</v>
      </c>
      <c r="C141" s="263">
        <v>39675.333333333336</v>
      </c>
      <c r="D141" s="264">
        <v>48000.333333333336</v>
      </c>
      <c r="E141" s="265">
        <v>47362.8</v>
      </c>
      <c r="F141" s="273">
        <v>135038.46666666667</v>
      </c>
      <c r="G141" s="274">
        <v>532607.21205837175</v>
      </c>
      <c r="H141" s="1121"/>
      <c r="I141" s="275">
        <v>1.1042590421827016E-2</v>
      </c>
      <c r="J141" s="276">
        <v>4.0048824175189283E-2</v>
      </c>
      <c r="K141" s="277">
        <v>3.4190012446230163E-2</v>
      </c>
      <c r="L141" s="278">
        <v>2.9327215027453724E-2</v>
      </c>
      <c r="M141" s="279">
        <v>1.3968738017950066E-2</v>
      </c>
    </row>
    <row r="142" spans="1:13" x14ac:dyDescent="0.6">
      <c r="A142" s="1081"/>
      <c r="B142" s="226" t="s">
        <v>310</v>
      </c>
      <c r="C142" s="263">
        <v>41099.93548387097</v>
      </c>
      <c r="D142" s="264">
        <v>51095.451612903227</v>
      </c>
      <c r="E142" s="265">
        <v>50494.870967741932</v>
      </c>
      <c r="F142" s="273">
        <v>142690.25806451612</v>
      </c>
      <c r="G142" s="274">
        <v>675297.47012288787</v>
      </c>
      <c r="H142" s="1121"/>
      <c r="I142" s="275">
        <v>-2.1138834129465702E-3</v>
      </c>
      <c r="J142" s="276">
        <v>2.7436641388735944E-2</v>
      </c>
      <c r="K142" s="277">
        <v>2.6610640583538649E-2</v>
      </c>
      <c r="L142" s="278">
        <v>1.8459559074088583E-2</v>
      </c>
      <c r="M142" s="279">
        <v>1.4914344744845653E-2</v>
      </c>
    </row>
    <row r="143" spans="1:13" x14ac:dyDescent="0.6">
      <c r="A143" s="1081"/>
      <c r="B143" s="235" t="s">
        <v>314</v>
      </c>
      <c r="C143" s="263">
        <v>41135.533333333333</v>
      </c>
      <c r="D143" s="264">
        <v>53010.863414897707</v>
      </c>
      <c r="E143" s="265">
        <v>52500.934550667378</v>
      </c>
      <c r="F143" s="273">
        <v>146647.33129889841</v>
      </c>
      <c r="G143" s="274">
        <v>821944.80142178631</v>
      </c>
      <c r="H143" s="1121"/>
      <c r="I143" s="275">
        <v>7.257857043526629E-2</v>
      </c>
      <c r="J143" s="276">
        <v>9.9240298909231875E-2</v>
      </c>
      <c r="K143" s="277">
        <v>6.3310066848959554E-2</v>
      </c>
      <c r="L143" s="278">
        <v>7.8669907753460055E-2</v>
      </c>
      <c r="M143" s="279">
        <v>2.5731038412432516E-2</v>
      </c>
    </row>
    <row r="144" spans="1:13" x14ac:dyDescent="0.6">
      <c r="A144" s="1081"/>
      <c r="B144" s="226" t="s">
        <v>316</v>
      </c>
      <c r="C144" s="263">
        <v>38286.548387096773</v>
      </c>
      <c r="D144" s="264">
        <v>50696.967741935485</v>
      </c>
      <c r="E144" s="265">
        <v>51577.40376508185</v>
      </c>
      <c r="F144" s="273">
        <v>140560.91989411411</v>
      </c>
      <c r="G144" s="274">
        <v>962505.72131590045</v>
      </c>
      <c r="H144" s="1121"/>
      <c r="I144" s="275">
        <v>4.0140954307282803E-2</v>
      </c>
      <c r="J144" s="276">
        <v>9.8550427185031944E-2</v>
      </c>
      <c r="K144" s="277">
        <v>7.5582419558356095E-2</v>
      </c>
      <c r="L144" s="278">
        <v>7.3713859066032006E-2</v>
      </c>
      <c r="M144" s="279">
        <v>3.2469108948660397E-2</v>
      </c>
    </row>
    <row r="145" spans="1:13" x14ac:dyDescent="0.6">
      <c r="A145" s="1081"/>
      <c r="B145" s="235" t="s">
        <v>319</v>
      </c>
      <c r="C145" s="263">
        <v>40881.516129032258</v>
      </c>
      <c r="D145" s="264">
        <v>50425.161290322583</v>
      </c>
      <c r="E145" s="265">
        <v>53185.600009105947</v>
      </c>
      <c r="F145" s="273">
        <v>144492.2774284608</v>
      </c>
      <c r="G145" s="274">
        <v>1106997.9987443613</v>
      </c>
      <c r="H145" s="1121"/>
      <c r="I145" s="275">
        <v>7.3541034348684586E-2</v>
      </c>
      <c r="J145" s="276">
        <v>5.4787292187645553E-2</v>
      </c>
      <c r="K145" s="277">
        <v>7.8902953771217685E-2</v>
      </c>
      <c r="L145" s="278">
        <v>6.886426124927536E-2</v>
      </c>
      <c r="M145" s="279">
        <v>3.707835993910491E-2</v>
      </c>
    </row>
    <row r="146" spans="1:13" x14ac:dyDescent="0.6">
      <c r="A146" s="1081"/>
      <c r="B146" s="226" t="s">
        <v>321</v>
      </c>
      <c r="C146" s="263">
        <v>43724.866666666669</v>
      </c>
      <c r="D146" s="264">
        <v>52659.4</v>
      </c>
      <c r="E146" s="265">
        <v>52589.383127120971</v>
      </c>
      <c r="F146" s="273">
        <v>148973.64979378763</v>
      </c>
      <c r="G146" s="274">
        <v>1255971.648538149</v>
      </c>
      <c r="H146" s="1121"/>
      <c r="I146" s="275">
        <v>3.6699306889220872E-2</v>
      </c>
      <c r="J146" s="276">
        <v>6.3496688114061395E-2</v>
      </c>
      <c r="K146" s="277">
        <v>8.4831634117642815E-2</v>
      </c>
      <c r="L146" s="278">
        <v>6.2811952275471983E-2</v>
      </c>
      <c r="M146" s="279">
        <v>4.0065353168157847E-2</v>
      </c>
    </row>
    <row r="147" spans="1:13" x14ac:dyDescent="0.6">
      <c r="A147" s="1081"/>
      <c r="B147" s="235" t="s">
        <v>323</v>
      </c>
      <c r="C147" s="263">
        <v>43263.032258064515</v>
      </c>
      <c r="D147" s="264">
        <v>52673.774193548386</v>
      </c>
      <c r="E147" s="265">
        <v>50751.051533165461</v>
      </c>
      <c r="F147" s="273">
        <v>146687.85798477835</v>
      </c>
      <c r="G147" s="274">
        <v>1402659.5065229274</v>
      </c>
      <c r="H147" s="1121"/>
      <c r="I147" s="275">
        <v>2.0041785727595671E-2</v>
      </c>
      <c r="J147" s="276">
        <v>5.9493406419430094E-2</v>
      </c>
      <c r="K147" s="277">
        <v>5.4918030579838711E-2</v>
      </c>
      <c r="L147" s="278">
        <v>4.5992227390424523E-2</v>
      </c>
      <c r="M147" s="279">
        <v>4.0682029408591225E-2</v>
      </c>
    </row>
    <row r="148" spans="1:13" x14ac:dyDescent="0.6">
      <c r="A148" s="1081"/>
      <c r="B148" s="226" t="s">
        <v>326</v>
      </c>
      <c r="C148" s="263">
        <v>42575.933333333334</v>
      </c>
      <c r="D148" s="264">
        <v>51610.7</v>
      </c>
      <c r="E148" s="265">
        <v>49168.533333333333</v>
      </c>
      <c r="F148" s="273">
        <v>143355.16666666666</v>
      </c>
      <c r="G148" s="274">
        <v>1546014.6731895942</v>
      </c>
      <c r="H148" s="1121"/>
      <c r="I148" s="275">
        <v>3.0270619076426721E-2</v>
      </c>
      <c r="J148" s="276">
        <v>8.6060899391847759E-2</v>
      </c>
      <c r="K148" s="277">
        <v>4.6495260798002147E-2</v>
      </c>
      <c r="L148" s="278">
        <v>5.5401359542565309E-2</v>
      </c>
      <c r="M148" s="279">
        <v>4.2029595856515778E-2</v>
      </c>
    </row>
    <row r="149" spans="1:13" ht="13.75" thickBot="1" x14ac:dyDescent="0.75">
      <c r="A149" s="1082"/>
      <c r="B149" s="235" t="s">
        <v>327</v>
      </c>
      <c r="C149" s="263">
        <v>40145.193548387098</v>
      </c>
      <c r="D149" s="264">
        <v>50708.06451612903</v>
      </c>
      <c r="E149" s="265">
        <v>45716.645161290326</v>
      </c>
      <c r="F149" s="273">
        <v>136569.90322580645</v>
      </c>
      <c r="G149" s="274">
        <v>1682584.5764154007</v>
      </c>
      <c r="H149" s="1121"/>
      <c r="I149" s="292">
        <v>2.8151245924988435E-2</v>
      </c>
      <c r="J149" s="282">
        <v>5.5494453106220192E-2</v>
      </c>
      <c r="K149" s="283">
        <v>4.8522858679624907E-2</v>
      </c>
      <c r="L149" s="284">
        <v>4.4999221248968491E-2</v>
      </c>
      <c r="M149" s="285">
        <v>4.227000115618762E-2</v>
      </c>
    </row>
    <row r="150" spans="1:13" ht="16.25" thickBot="1" x14ac:dyDescent="0.75">
      <c r="A150" s="1133" t="s">
        <v>356</v>
      </c>
      <c r="B150" s="1134"/>
      <c r="C150" s="170">
        <v>40955</v>
      </c>
      <c r="D150" s="170">
        <v>50225</v>
      </c>
      <c r="E150" s="170">
        <v>49035</v>
      </c>
      <c r="F150" s="170">
        <v>140215</v>
      </c>
      <c r="G150" s="293"/>
      <c r="H150" s="1122"/>
      <c r="I150" s="202">
        <v>2.4588252032589519E-2</v>
      </c>
      <c r="J150" s="202">
        <v>5.4629516364514963E-2</v>
      </c>
      <c r="K150" s="203">
        <v>4.4779829545454453E-2</v>
      </c>
      <c r="L150" s="204"/>
      <c r="M150" s="203">
        <v>4.227000115618762E-2</v>
      </c>
    </row>
    <row r="151" spans="1:13" x14ac:dyDescent="0.6">
      <c r="A151" s="1081">
        <v>2016</v>
      </c>
      <c r="B151" s="226" t="s">
        <v>295</v>
      </c>
      <c r="C151" s="263">
        <v>39607.741935483871</v>
      </c>
      <c r="D151" s="264">
        <v>48576.645161290326</v>
      </c>
      <c r="E151" s="265">
        <v>45722.870967741932</v>
      </c>
      <c r="F151" s="266">
        <v>133907.25806451612</v>
      </c>
      <c r="G151" s="267">
        <v>133907.25806451612</v>
      </c>
      <c r="H151" s="1120" t="s">
        <v>357</v>
      </c>
      <c r="I151" s="268">
        <v>2.4289160807658829E-2</v>
      </c>
      <c r="J151" s="269">
        <v>5.5652763991004543E-2</v>
      </c>
      <c r="K151" s="270">
        <v>6.0853092912746987E-2</v>
      </c>
      <c r="L151" s="271">
        <v>4.7915906712796108E-2</v>
      </c>
      <c r="M151" s="272">
        <v>4.7915906712796108E-2</v>
      </c>
    </row>
    <row r="152" spans="1:13" x14ac:dyDescent="0.6">
      <c r="A152" s="1081"/>
      <c r="B152" s="235" t="s">
        <v>299</v>
      </c>
      <c r="C152" s="263">
        <v>42175</v>
      </c>
      <c r="D152" s="264">
        <v>50786.758620689652</v>
      </c>
      <c r="E152" s="265">
        <v>48931.65517241379</v>
      </c>
      <c r="F152" s="273">
        <v>141893.41379310345</v>
      </c>
      <c r="G152" s="274">
        <v>275800.67185761954</v>
      </c>
      <c r="H152" s="1121"/>
      <c r="I152" s="275">
        <v>4.7498917818037341E-2</v>
      </c>
      <c r="J152" s="276">
        <v>8.032059592609779E-2</v>
      </c>
      <c r="K152" s="277">
        <v>8.8176747547456746E-2</v>
      </c>
      <c r="L152" s="278">
        <v>7.2998907075876529E-2</v>
      </c>
      <c r="M152" s="279">
        <v>6.0672313359037888E-2</v>
      </c>
    </row>
    <row r="153" spans="1:13" x14ac:dyDescent="0.6">
      <c r="A153" s="1081"/>
      <c r="B153" s="226" t="s">
        <v>303</v>
      </c>
      <c r="C153" s="263">
        <v>41617.387096774197</v>
      </c>
      <c r="D153" s="264">
        <v>50753.290322580644</v>
      </c>
      <c r="E153" s="265">
        <v>49804.483870967742</v>
      </c>
      <c r="F153" s="273">
        <v>142175.16129032261</v>
      </c>
      <c r="G153" s="274">
        <v>417975.83314794215</v>
      </c>
      <c r="H153" s="1121"/>
      <c r="I153" s="275">
        <v>-3.4558590096035913E-3</v>
      </c>
      <c r="J153" s="276">
        <v>4.0190775776976932E-2</v>
      </c>
      <c r="K153" s="277">
        <v>5.9887375652244432E-2</v>
      </c>
      <c r="L153" s="278">
        <v>3.3667731816716229E-2</v>
      </c>
      <c r="M153" s="279">
        <v>5.1329708365608573E-2</v>
      </c>
    </row>
    <row r="154" spans="1:13" x14ac:dyDescent="0.6">
      <c r="A154" s="1081"/>
      <c r="B154" s="235" t="s">
        <v>306</v>
      </c>
      <c r="C154" s="294">
        <v>44601.033333333333</v>
      </c>
      <c r="D154" s="295">
        <v>54324.1</v>
      </c>
      <c r="E154" s="296">
        <v>53576.4</v>
      </c>
      <c r="F154" s="297">
        <v>152501.53333333333</v>
      </c>
      <c r="G154" s="298">
        <v>570477.36648127553</v>
      </c>
      <c r="H154" s="1121"/>
      <c r="I154" s="299">
        <v>0.12415018567371827</v>
      </c>
      <c r="J154" s="300">
        <v>0.13174422399844438</v>
      </c>
      <c r="K154" s="301">
        <v>0.13119156806607712</v>
      </c>
      <c r="L154" s="302">
        <v>0.12931920139298558</v>
      </c>
      <c r="M154" s="303">
        <v>7.1103345139745144E-2</v>
      </c>
    </row>
    <row r="155" spans="1:13" x14ac:dyDescent="0.6">
      <c r="A155" s="1081"/>
      <c r="B155" s="226" t="s">
        <v>310</v>
      </c>
      <c r="C155" s="263">
        <v>43616.903225806454</v>
      </c>
      <c r="D155" s="264">
        <v>55362.290322580644</v>
      </c>
      <c r="E155" s="265">
        <v>54595.272050195585</v>
      </c>
      <c r="F155" s="273">
        <v>153574.46559858267</v>
      </c>
      <c r="G155" s="274">
        <v>724051.83207985817</v>
      </c>
      <c r="H155" s="1121"/>
      <c r="I155" s="275">
        <v>6.1240187175554801E-2</v>
      </c>
      <c r="J155" s="276">
        <v>8.3507211992229546E-2</v>
      </c>
      <c r="K155" s="277">
        <v>8.1204308553895432E-2</v>
      </c>
      <c r="L155" s="278">
        <v>7.627856086114404E-2</v>
      </c>
      <c r="M155" s="279">
        <v>7.2196867475452287E-2</v>
      </c>
    </row>
    <row r="156" spans="1:13" x14ac:dyDescent="0.6">
      <c r="A156" s="1081"/>
      <c r="B156" s="235" t="s">
        <v>314</v>
      </c>
      <c r="C156" s="294">
        <v>42355.76666666667</v>
      </c>
      <c r="D156" s="295">
        <v>55511.8</v>
      </c>
      <c r="E156" s="296">
        <v>55002.5</v>
      </c>
      <c r="F156" s="297">
        <v>152870.06666666668</v>
      </c>
      <c r="G156" s="298">
        <v>876921.89874652482</v>
      </c>
      <c r="H156" s="1121"/>
      <c r="I156" s="299">
        <v>2.9663729492588012E-2</v>
      </c>
      <c r="J156" s="300">
        <v>4.7177812697150948E-2</v>
      </c>
      <c r="K156" s="301">
        <v>4.7648017520877113E-2</v>
      </c>
      <c r="L156" s="302">
        <v>4.2433335217570534E-2</v>
      </c>
      <c r="M156" s="303">
        <v>6.6886605073284811E-2</v>
      </c>
    </row>
    <row r="157" spans="1:13" x14ac:dyDescent="0.6">
      <c r="A157" s="1081"/>
      <c r="B157" s="226" t="s">
        <v>316</v>
      </c>
      <c r="C157" s="294">
        <v>39043.387096774197</v>
      </c>
      <c r="D157" s="295">
        <v>52469.774193548386</v>
      </c>
      <c r="E157" s="296">
        <v>54030.93548387097</v>
      </c>
      <c r="F157" s="297">
        <v>145544.09677419355</v>
      </c>
      <c r="G157" s="298">
        <v>1022465.9955207184</v>
      </c>
      <c r="H157" s="1121"/>
      <c r="I157" s="299">
        <v>1.97677445881356E-2</v>
      </c>
      <c r="J157" s="300">
        <v>3.4968688080854834E-2</v>
      </c>
      <c r="K157" s="301">
        <v>4.7569895723409257E-2</v>
      </c>
      <c r="L157" s="302">
        <v>3.5452079310759332E-2</v>
      </c>
      <c r="M157" s="303">
        <v>6.2296018482718818E-2</v>
      </c>
    </row>
    <row r="158" spans="1:13" x14ac:dyDescent="0.6">
      <c r="A158" s="1081"/>
      <c r="B158" s="235" t="s">
        <v>319</v>
      </c>
      <c r="C158" s="294">
        <v>44200.096774193546</v>
      </c>
      <c r="D158" s="295">
        <v>56313.548387096773</v>
      </c>
      <c r="E158" s="296">
        <v>57270.741935483871</v>
      </c>
      <c r="F158" s="297">
        <v>157784.38709677418</v>
      </c>
      <c r="G158" s="298">
        <v>1180250.3826174927</v>
      </c>
      <c r="H158" s="1121"/>
      <c r="I158" s="299">
        <v>8.1175576627026749E-2</v>
      </c>
      <c r="J158" s="300">
        <v>0.11677477961591107</v>
      </c>
      <c r="K158" s="301">
        <v>7.6809172514336665E-2</v>
      </c>
      <c r="L158" s="302">
        <v>9.1991834476374823E-2</v>
      </c>
      <c r="M158" s="303">
        <v>6.6172101445729492E-2</v>
      </c>
    </row>
    <row r="159" spans="1:13" x14ac:dyDescent="0.6">
      <c r="A159" s="1081"/>
      <c r="B159" s="226" t="s">
        <v>321</v>
      </c>
      <c r="C159" s="263">
        <v>46498.1</v>
      </c>
      <c r="D159" s="264">
        <v>57810.833333333336</v>
      </c>
      <c r="E159" s="265">
        <v>56692.76666666667</v>
      </c>
      <c r="F159" s="273">
        <v>161001.70000000001</v>
      </c>
      <c r="G159" s="274">
        <v>1341252.0826174926</v>
      </c>
      <c r="H159" s="1121"/>
      <c r="I159" s="275">
        <v>6.3424626413955063E-2</v>
      </c>
      <c r="J159" s="276">
        <v>9.7825522762001349E-2</v>
      </c>
      <c r="K159" s="277">
        <v>7.8026842977542657E-2</v>
      </c>
      <c r="L159" s="278">
        <v>8.0739447700058697E-2</v>
      </c>
      <c r="M159" s="279">
        <v>6.7899967470287592E-2</v>
      </c>
    </row>
    <row r="160" spans="1:13" x14ac:dyDescent="0.6">
      <c r="A160" s="1081"/>
      <c r="B160" s="235" t="s">
        <v>323</v>
      </c>
      <c r="C160" s="263">
        <v>44845.129032258068</v>
      </c>
      <c r="D160" s="264">
        <v>54877.838709677417</v>
      </c>
      <c r="E160" s="265">
        <v>53297.93548387097</v>
      </c>
      <c r="F160" s="273">
        <v>153020.90322580645</v>
      </c>
      <c r="G160" s="274">
        <v>1494272.9858432992</v>
      </c>
      <c r="H160" s="1121"/>
      <c r="I160" s="275">
        <v>3.6569253046257286E-2</v>
      </c>
      <c r="J160" s="276">
        <v>4.1843679323798857E-2</v>
      </c>
      <c r="K160" s="277">
        <v>5.018386562968332E-2</v>
      </c>
      <c r="L160" s="278">
        <v>4.3173615921811903E-2</v>
      </c>
      <c r="M160" s="279">
        <v>6.5314125697884862E-2</v>
      </c>
    </row>
    <row r="161" spans="1:19" x14ac:dyDescent="0.6">
      <c r="A161" s="1081"/>
      <c r="B161" s="226" t="s">
        <v>326</v>
      </c>
      <c r="C161" s="263">
        <v>45747.76666666667</v>
      </c>
      <c r="D161" s="264">
        <v>57078.166666666664</v>
      </c>
      <c r="E161" s="265">
        <v>53268.533333333333</v>
      </c>
      <c r="F161" s="273">
        <v>156094.46666666667</v>
      </c>
      <c r="G161" s="274">
        <v>1650367.4525099657</v>
      </c>
      <c r="H161" s="1121"/>
      <c r="I161" s="275">
        <v>7.4498268975117451E-2</v>
      </c>
      <c r="J161" s="276">
        <v>0.10593668883907149</v>
      </c>
      <c r="K161" s="277">
        <v>8.3386664641884781E-2</v>
      </c>
      <c r="L161" s="278">
        <v>8.886530075069965E-2</v>
      </c>
      <c r="M161" s="279">
        <v>6.7497922969308233E-2</v>
      </c>
    </row>
    <row r="162" spans="1:19" ht="13.75" thickBot="1" x14ac:dyDescent="0.75">
      <c r="A162" s="1082"/>
      <c r="B162" s="235" t="s">
        <v>327</v>
      </c>
      <c r="C162" s="263">
        <v>45044.129032258068</v>
      </c>
      <c r="D162" s="264">
        <v>56658.225806451614</v>
      </c>
      <c r="E162" s="265">
        <v>51741.354838709674</v>
      </c>
      <c r="F162" s="273">
        <v>153443.70967741936</v>
      </c>
      <c r="G162" s="274">
        <v>1803811.1621873851</v>
      </c>
      <c r="H162" s="1121"/>
      <c r="I162" s="292">
        <v>0.12203043629535054</v>
      </c>
      <c r="J162" s="282">
        <v>0.11734151849613543</v>
      </c>
      <c r="K162" s="283">
        <v>0.13178372245303455</v>
      </c>
      <c r="L162" s="284">
        <v>0.12355435607004517</v>
      </c>
      <c r="M162" s="285">
        <v>7.2047840846281241E-2</v>
      </c>
    </row>
    <row r="163" spans="1:19" ht="16.25" thickBot="1" x14ac:dyDescent="0.75">
      <c r="A163" s="1133" t="s">
        <v>356</v>
      </c>
      <c r="B163" s="1134"/>
      <c r="C163" s="170">
        <v>43300</v>
      </c>
      <c r="D163" s="170">
        <v>54200</v>
      </c>
      <c r="E163" s="170">
        <v>52800</v>
      </c>
      <c r="F163" s="170">
        <v>150300</v>
      </c>
      <c r="G163" s="304"/>
      <c r="H163" s="1122"/>
      <c r="I163" s="202">
        <v>5.7257966060310084E-2</v>
      </c>
      <c r="J163" s="202">
        <v>7.9143852663016379E-2</v>
      </c>
      <c r="K163" s="203">
        <v>7.6781890486387283E-2</v>
      </c>
      <c r="L163" s="204"/>
      <c r="M163" s="203">
        <v>7.2047840846281241E-2</v>
      </c>
    </row>
    <row r="164" spans="1:19" x14ac:dyDescent="0.6">
      <c r="A164" s="1081">
        <v>2017</v>
      </c>
      <c r="B164" s="226" t="s">
        <v>295</v>
      </c>
      <c r="C164" s="263">
        <v>43322.645161290326</v>
      </c>
      <c r="D164" s="264">
        <v>53340.451612903227</v>
      </c>
      <c r="E164" s="265">
        <v>49643.838709677417</v>
      </c>
      <c r="F164" s="266">
        <v>146306.93548387097</v>
      </c>
      <c r="G164" s="267">
        <v>146306.93548387097</v>
      </c>
      <c r="H164" s="1120" t="s">
        <v>358</v>
      </c>
      <c r="I164" s="268">
        <v>9.3792350794891913E-2</v>
      </c>
      <c r="J164" s="269">
        <v>9.8067835598681388E-2</v>
      </c>
      <c r="K164" s="270">
        <v>8.5755064346282578E-2</v>
      </c>
      <c r="L164" s="271">
        <v>9.2598994248547228E-2</v>
      </c>
      <c r="M164" s="272">
        <v>9.2598994248547228E-2</v>
      </c>
    </row>
    <row r="165" spans="1:19" x14ac:dyDescent="0.6">
      <c r="A165" s="1081"/>
      <c r="B165" s="235" t="s">
        <v>299</v>
      </c>
      <c r="C165" s="263">
        <v>44620.678571428572</v>
      </c>
      <c r="D165" s="264">
        <v>54880.107142857145</v>
      </c>
      <c r="E165" s="265">
        <v>51641.499946411874</v>
      </c>
      <c r="F165" s="273">
        <v>151142.28566069758</v>
      </c>
      <c r="G165" s="274">
        <v>297449.22114456852</v>
      </c>
      <c r="H165" s="1121"/>
      <c r="I165" s="275">
        <v>5.798882208485056E-2</v>
      </c>
      <c r="J165" s="276">
        <v>8.059873544479236E-2</v>
      </c>
      <c r="K165" s="277">
        <v>5.5380198451284224E-2</v>
      </c>
      <c r="L165" s="278">
        <v>6.5181826417116451E-2</v>
      </c>
      <c r="M165" s="279">
        <v>7.8493461024362166E-2</v>
      </c>
    </row>
    <row r="166" spans="1:19" x14ac:dyDescent="0.6">
      <c r="A166" s="1081"/>
      <c r="B166" s="226" t="s">
        <v>303</v>
      </c>
      <c r="C166" s="263">
        <v>47551.225806451614</v>
      </c>
      <c r="D166" s="264">
        <v>59029.903225806454</v>
      </c>
      <c r="E166" s="265">
        <v>56354.548387096773</v>
      </c>
      <c r="F166" s="273">
        <v>162935.67741935485</v>
      </c>
      <c r="G166" s="274">
        <v>460384.89856392337</v>
      </c>
      <c r="H166" s="1121"/>
      <c r="I166" s="275">
        <v>0.14258076067772535</v>
      </c>
      <c r="J166" s="276">
        <v>0.16307539571564414</v>
      </c>
      <c r="K166" s="277">
        <v>0.13151555858100608</v>
      </c>
      <c r="L166" s="278">
        <v>0.14602069686869656</v>
      </c>
      <c r="M166" s="279">
        <v>0.10146296042185421</v>
      </c>
    </row>
    <row r="167" spans="1:19" x14ac:dyDescent="0.6">
      <c r="A167" s="1081"/>
      <c r="B167" s="235" t="s">
        <v>306</v>
      </c>
      <c r="C167" s="263">
        <v>42659.833333333336</v>
      </c>
      <c r="D167" s="264">
        <v>54475.633333333331</v>
      </c>
      <c r="E167" s="265">
        <v>63080.616666666669</v>
      </c>
      <c r="F167" s="273">
        <v>160216.08333333334</v>
      </c>
      <c r="G167" s="274">
        <v>620600.98189725669</v>
      </c>
      <c r="H167" s="1121"/>
      <c r="I167" s="275">
        <v>-4.3523655281529287E-2</v>
      </c>
      <c r="J167" s="276">
        <v>2.7894310873688264E-3</v>
      </c>
      <c r="K167" s="277">
        <v>0.17739558213442239</v>
      </c>
      <c r="L167" s="278">
        <v>5.0586704483408518E-2</v>
      </c>
      <c r="M167" s="279">
        <v>8.7862583795647042E-2</v>
      </c>
    </row>
    <row r="168" spans="1:19" x14ac:dyDescent="0.6">
      <c r="A168" s="1081"/>
      <c r="B168" s="226" t="s">
        <v>310</v>
      </c>
      <c r="C168" s="263">
        <v>46689</v>
      </c>
      <c r="D168" s="264">
        <v>61210.482180166997</v>
      </c>
      <c r="E168" s="265">
        <v>58165.885569130776</v>
      </c>
      <c r="F168" s="273">
        <v>166065.36774929776</v>
      </c>
      <c r="G168" s="274">
        <v>786666.34964655444</v>
      </c>
      <c r="H168" s="1121"/>
      <c r="I168" s="275">
        <v>7.0433628868358161E-2</v>
      </c>
      <c r="J168" s="276">
        <v>0.10563493351721123</v>
      </c>
      <c r="K168" s="277">
        <v>6.5401515275028285E-2</v>
      </c>
      <c r="L168" s="278">
        <v>8.1334498557619428E-2</v>
      </c>
      <c r="M168" s="279">
        <v>8.647794921923535E-2</v>
      </c>
    </row>
    <row r="169" spans="1:19" x14ac:dyDescent="0.6">
      <c r="A169" s="1081"/>
      <c r="B169" s="235" t="s">
        <v>314</v>
      </c>
      <c r="C169" s="263">
        <v>46568.26666666667</v>
      </c>
      <c r="D169" s="264">
        <v>62428.354623662672</v>
      </c>
      <c r="E169" s="265">
        <v>59982.778287697103</v>
      </c>
      <c r="F169" s="273">
        <v>168979.39957802644</v>
      </c>
      <c r="G169" s="274">
        <v>955645.74922458082</v>
      </c>
      <c r="H169" s="1121"/>
      <c r="I169" s="275">
        <v>9.9455170606442406E-2</v>
      </c>
      <c r="J169" s="276">
        <v>0.12459611512620143</v>
      </c>
      <c r="K169" s="277">
        <v>9.0546398576375683E-2</v>
      </c>
      <c r="L169" s="278">
        <v>0.10537924959819756</v>
      </c>
      <c r="M169" s="279">
        <v>8.9772932561707153E-2</v>
      </c>
    </row>
    <row r="170" spans="1:19" x14ac:dyDescent="0.6">
      <c r="A170" s="1081"/>
      <c r="B170" s="226" t="s">
        <v>316</v>
      </c>
      <c r="C170" s="263">
        <v>41982.516129032258</v>
      </c>
      <c r="D170" s="264">
        <v>59796.509359393349</v>
      </c>
      <c r="E170" s="265">
        <v>57596.083340171128</v>
      </c>
      <c r="F170" s="273">
        <v>159375.10882859671</v>
      </c>
      <c r="G170" s="274">
        <v>1115020.8580531776</v>
      </c>
      <c r="H170" s="1121"/>
      <c r="I170" s="275">
        <v>7.5278536285108694E-2</v>
      </c>
      <c r="J170" s="276">
        <v>0.13963725360849463</v>
      </c>
      <c r="K170" s="277">
        <v>6.5983456040001512E-2</v>
      </c>
      <c r="L170" s="278">
        <v>9.502970138226563E-2</v>
      </c>
      <c r="M170" s="279">
        <v>9.0521213358614627E-2</v>
      </c>
    </row>
    <row r="171" spans="1:19" x14ac:dyDescent="0.6">
      <c r="A171" s="1081"/>
      <c r="B171" s="235" t="s">
        <v>319</v>
      </c>
      <c r="C171" s="263">
        <v>45948.580645161288</v>
      </c>
      <c r="D171" s="264">
        <v>62799.193548387098</v>
      </c>
      <c r="E171" s="265">
        <v>59244.419354838712</v>
      </c>
      <c r="F171" s="273">
        <v>167992.19354838709</v>
      </c>
      <c r="G171" s="274">
        <v>1283013.0516015647</v>
      </c>
      <c r="H171" s="1121"/>
      <c r="I171" s="275">
        <v>3.9558372007651436E-2</v>
      </c>
      <c r="J171" s="276">
        <v>0.11517024494191513</v>
      </c>
      <c r="K171" s="277">
        <v>3.4462228926215248E-2</v>
      </c>
      <c r="L171" s="278">
        <v>6.4694654771844773E-2</v>
      </c>
      <c r="M171" s="279">
        <v>8.7068532658443942E-2</v>
      </c>
    </row>
    <row r="172" spans="1:19" x14ac:dyDescent="0.6">
      <c r="A172" s="1081"/>
      <c r="B172" s="226" t="s">
        <v>321</v>
      </c>
      <c r="C172" s="263">
        <v>47964.666666666664</v>
      </c>
      <c r="D172" s="264">
        <v>65386.366666666669</v>
      </c>
      <c r="E172" s="265">
        <v>59174.8</v>
      </c>
      <c r="F172" s="273">
        <v>172525.83333333331</v>
      </c>
      <c r="G172" s="274">
        <v>1455538.884934898</v>
      </c>
      <c r="H172" s="1121"/>
      <c r="I172" s="275">
        <v>3.1540356846122011E-2</v>
      </c>
      <c r="J172" s="276">
        <v>0.13104002998284633</v>
      </c>
      <c r="K172" s="277">
        <v>4.3780423487299665E-2</v>
      </c>
      <c r="L172" s="278">
        <v>7.1577712119395676E-2</v>
      </c>
      <c r="M172" s="279">
        <v>8.5209039969855072E-2</v>
      </c>
    </row>
    <row r="173" spans="1:19" x14ac:dyDescent="0.6">
      <c r="A173" s="1081"/>
      <c r="B173" s="235" t="s">
        <v>323</v>
      </c>
      <c r="C173" s="263">
        <v>47530.290322580644</v>
      </c>
      <c r="D173" s="264">
        <v>62012.258064516129</v>
      </c>
      <c r="E173" s="265">
        <v>57318.258064516129</v>
      </c>
      <c r="F173" s="273">
        <v>166860.80645161291</v>
      </c>
      <c r="G173" s="274">
        <v>1622399.6913865109</v>
      </c>
      <c r="H173" s="1121"/>
      <c r="I173" s="275">
        <v>5.9876319864997633E-2</v>
      </c>
      <c r="J173" s="276">
        <v>0.13000547256575165</v>
      </c>
      <c r="K173" s="277">
        <v>7.5431112746605161E-2</v>
      </c>
      <c r="L173" s="278">
        <v>9.044452708126749E-2</v>
      </c>
      <c r="M173" s="279">
        <v>8.5745179600434707E-2</v>
      </c>
    </row>
    <row r="174" spans="1:19" x14ac:dyDescent="0.6">
      <c r="A174" s="1081"/>
      <c r="B174" s="226" t="s">
        <v>326</v>
      </c>
      <c r="C174" s="263">
        <v>47185.666666666664</v>
      </c>
      <c r="D174" s="264">
        <v>62238.633333333331</v>
      </c>
      <c r="E174" s="265">
        <v>55233</v>
      </c>
      <c r="F174" s="273">
        <v>164657.29999999999</v>
      </c>
      <c r="G174" s="274">
        <v>1787056.9913865109</v>
      </c>
      <c r="H174" s="1121"/>
      <c r="I174" s="275">
        <v>3.1431042535409612E-2</v>
      </c>
      <c r="J174" s="276">
        <v>9.0410518908280765E-2</v>
      </c>
      <c r="K174" s="277">
        <v>3.6878557447298475E-2</v>
      </c>
      <c r="L174" s="278">
        <v>5.485673846222161E-2</v>
      </c>
      <c r="M174" s="279">
        <v>8.2823700060650429E-2</v>
      </c>
    </row>
    <row r="175" spans="1:19" ht="13.75" thickBot="1" x14ac:dyDescent="0.75">
      <c r="A175" s="1082"/>
      <c r="B175" s="235" t="s">
        <v>327</v>
      </c>
      <c r="C175" s="263">
        <v>46341.612903225803</v>
      </c>
      <c r="D175" s="264">
        <v>61376.322580645159</v>
      </c>
      <c r="E175" s="265">
        <v>53390.354838709674</v>
      </c>
      <c r="F175" s="273">
        <v>161108.29032258064</v>
      </c>
      <c r="G175" s="274">
        <v>1948165.2817090915</v>
      </c>
      <c r="H175" s="1121"/>
      <c r="I175" s="292">
        <v>2.8804727693559136E-2</v>
      </c>
      <c r="J175" s="282">
        <v>8.3272935342361187E-2</v>
      </c>
      <c r="K175" s="283">
        <v>3.1870058392176472E-2</v>
      </c>
      <c r="L175" s="284">
        <v>4.9950438902150562E-2</v>
      </c>
      <c r="M175" s="285">
        <v>8.0027290299421239E-2</v>
      </c>
      <c r="O175" s="160">
        <f>AVERAGE(I176:K176)</f>
        <v>7.8351624203681469E-2</v>
      </c>
    </row>
    <row r="176" spans="1:19" ht="16.25" thickBot="1" x14ac:dyDescent="0.75">
      <c r="A176" s="1133" t="s">
        <v>356</v>
      </c>
      <c r="B176" s="1134"/>
      <c r="C176" s="170">
        <f>AVERAGE(C164:C175)</f>
        <v>45697.081906041996</v>
      </c>
      <c r="D176" s="170">
        <v>59914.517972639296</v>
      </c>
      <c r="E176" s="170">
        <v>56735.506930409698</v>
      </c>
      <c r="F176" s="170">
        <v>162347.10680909097</v>
      </c>
      <c r="G176" s="304"/>
      <c r="H176" s="1122"/>
      <c r="I176" s="202">
        <v>5.5862916450791777E-2</v>
      </c>
      <c r="J176" s="202">
        <v>0.10522443568760109</v>
      </c>
      <c r="K176" s="203">
        <v>7.3967520472651538E-2</v>
      </c>
      <c r="L176" s="204"/>
      <c r="M176" s="203">
        <v>8.0027290299421239E-2</v>
      </c>
      <c r="O176" s="160">
        <f>AVERAGE(M164:M175)</f>
        <v>8.7338653101564426E-2</v>
      </c>
      <c r="Q176" s="160">
        <f>AVERAGE(I164:I175)</f>
        <v>5.726803608196563E-2</v>
      </c>
      <c r="R176" s="160">
        <f>AVERAGE(J164:J175)</f>
        <v>0.10535824181996241</v>
      </c>
      <c r="S176" s="160">
        <f>AVERAGE(K164:K175)</f>
        <v>7.4533346200332987E-2</v>
      </c>
    </row>
    <row r="177" spans="1:13" x14ac:dyDescent="0.6">
      <c r="A177" s="1081">
        <v>2018</v>
      </c>
      <c r="B177" s="226" t="s">
        <v>295</v>
      </c>
      <c r="C177" s="263">
        <v>44341</v>
      </c>
      <c r="D177" s="264">
        <v>57672.709677419356</v>
      </c>
      <c r="E177" s="265">
        <v>51027.516129032258</v>
      </c>
      <c r="F177" s="266">
        <v>153041.22580645164</v>
      </c>
      <c r="G177" s="267">
        <v>153041.22580645164</v>
      </c>
      <c r="H177" s="1120" t="s">
        <v>359</v>
      </c>
      <c r="I177" s="268">
        <v>2.3506294108273779E-2</v>
      </c>
      <c r="J177" s="269">
        <v>8.1218998593332897E-2</v>
      </c>
      <c r="K177" s="270">
        <v>2.7872087560487362E-2</v>
      </c>
      <c r="L177" s="271">
        <v>4.6028510544006807E-2</v>
      </c>
      <c r="M177" s="272">
        <v>4.6028510544006807E-2</v>
      </c>
    </row>
    <row r="178" spans="1:13" x14ac:dyDescent="0.6">
      <c r="A178" s="1081"/>
      <c r="B178" s="235" t="s">
        <v>299</v>
      </c>
      <c r="C178" s="263">
        <v>44942.607142857145</v>
      </c>
      <c r="D178" s="264">
        <v>57856.382854565039</v>
      </c>
      <c r="E178" s="265">
        <v>51341.142857142855</v>
      </c>
      <c r="F178" s="273">
        <v>154140.13285456505</v>
      </c>
      <c r="G178" s="274">
        <v>307181.35866101668</v>
      </c>
      <c r="H178" s="1121"/>
      <c r="I178" s="275">
        <v>7.2147843048426686E-3</v>
      </c>
      <c r="J178" s="276">
        <v>5.4232323270805932E-2</v>
      </c>
      <c r="K178" s="277">
        <v>-5.8161960744884961E-3</v>
      </c>
      <c r="L178" s="278">
        <v>1.9834602743784124E-2</v>
      </c>
      <c r="M178" s="279">
        <v>3.2718651872744697E-2</v>
      </c>
    </row>
    <row r="179" spans="1:13" x14ac:dyDescent="0.6">
      <c r="A179" s="1081"/>
      <c r="B179" s="226" t="s">
        <v>303</v>
      </c>
      <c r="C179" s="263">
        <v>47113.774193548386</v>
      </c>
      <c r="D179" s="264">
        <v>62185.949659172125</v>
      </c>
      <c r="E179" s="265">
        <v>57596.806451612902</v>
      </c>
      <c r="F179" s="273">
        <v>166896.53030433343</v>
      </c>
      <c r="G179" s="274">
        <v>474077.88896535011</v>
      </c>
      <c r="H179" s="1121"/>
      <c r="I179" s="275">
        <v>-9.1995864561681823E-3</v>
      </c>
      <c r="J179" s="276">
        <v>5.34652144234911E-2</v>
      </c>
      <c r="K179" s="277">
        <v>2.2043616710103252E-2</v>
      </c>
      <c r="L179" s="278">
        <v>2.4309303816771655E-2</v>
      </c>
      <c r="M179" s="279">
        <v>2.97424838306799E-2</v>
      </c>
    </row>
    <row r="180" spans="1:13" x14ac:dyDescent="0.6">
      <c r="A180" s="1081"/>
      <c r="B180" s="235" t="s">
        <v>306</v>
      </c>
      <c r="C180" s="263">
        <v>47082.9</v>
      </c>
      <c r="D180" s="264">
        <v>62561.153648976149</v>
      </c>
      <c r="E180" s="265">
        <v>57285.966666666667</v>
      </c>
      <c r="F180" s="273">
        <v>166930.02031564282</v>
      </c>
      <c r="G180" s="274">
        <v>641007.90928099293</v>
      </c>
      <c r="H180" s="1121"/>
      <c r="I180" s="275">
        <v>0.10368223035720561</v>
      </c>
      <c r="J180" s="276">
        <v>0.14842453076530518</v>
      </c>
      <c r="K180" s="277">
        <v>-9.1861023341295825E-2</v>
      </c>
      <c r="L180" s="278">
        <v>4.1905511872618817E-2</v>
      </c>
      <c r="M180" s="279">
        <v>3.2882525131284313E-2</v>
      </c>
    </row>
    <row r="181" spans="1:13" x14ac:dyDescent="0.6">
      <c r="A181" s="1081"/>
      <c r="B181" s="226" t="s">
        <v>310</v>
      </c>
      <c r="C181" s="263">
        <v>47493.258064516129</v>
      </c>
      <c r="D181" s="264">
        <v>64262.548387096773</v>
      </c>
      <c r="E181" s="265">
        <v>58649</v>
      </c>
      <c r="F181" s="273">
        <v>170404.80645161291</v>
      </c>
      <c r="G181" s="274">
        <v>811412.7157326059</v>
      </c>
      <c r="H181" s="1121"/>
      <c r="I181" s="275">
        <v>1.722585757921842E-2</v>
      </c>
      <c r="J181" s="276">
        <v>4.9861822652308492E-2</v>
      </c>
      <c r="K181" s="277">
        <v>8.305803756654526E-3</v>
      </c>
      <c r="L181" s="278">
        <v>2.6130907130897052E-2</v>
      </c>
      <c r="M181" s="279">
        <v>3.1457257701654529E-2</v>
      </c>
    </row>
    <row r="182" spans="1:13" x14ac:dyDescent="0.6">
      <c r="A182" s="1081"/>
      <c r="B182" s="235" t="s">
        <v>314</v>
      </c>
      <c r="C182" s="263">
        <v>47208.633333333331</v>
      </c>
      <c r="D182" s="264">
        <v>65114</v>
      </c>
      <c r="E182" s="265">
        <v>60968.333333333336</v>
      </c>
      <c r="F182" s="273">
        <v>173290.96666666667</v>
      </c>
      <c r="G182" s="274">
        <v>984703.68239927257</v>
      </c>
      <c r="H182" s="1121"/>
      <c r="I182" s="275">
        <v>1.3751138114080432E-2</v>
      </c>
      <c r="J182" s="276">
        <v>4.3019640554796373E-2</v>
      </c>
      <c r="K182" s="277">
        <v>1.6430633487985284E-2</v>
      </c>
      <c r="L182" s="278">
        <v>2.5515341511492151E-2</v>
      </c>
      <c r="M182" s="279">
        <v>3.0406594910582285E-2</v>
      </c>
    </row>
    <row r="183" spans="1:13" x14ac:dyDescent="0.6">
      <c r="A183" s="1081"/>
      <c r="B183" s="226" t="s">
        <v>316</v>
      </c>
      <c r="C183" s="263">
        <v>43204.838709677417</v>
      </c>
      <c r="D183" s="264">
        <v>61430.645161290326</v>
      </c>
      <c r="E183" s="265">
        <v>58824.647880323762</v>
      </c>
      <c r="F183" s="273">
        <v>163460.13175129151</v>
      </c>
      <c r="G183" s="274">
        <v>1148163.8141505641</v>
      </c>
      <c r="H183" s="1121"/>
      <c r="I183" s="275">
        <v>2.9115038672012417E-2</v>
      </c>
      <c r="J183" s="276">
        <v>2.7328280854579227E-2</v>
      </c>
      <c r="K183" s="277">
        <v>2.1330695924175046E-2</v>
      </c>
      <c r="L183" s="278">
        <v>2.5631498875323899E-2</v>
      </c>
      <c r="M183" s="279">
        <v>2.9724068261157033E-2</v>
      </c>
    </row>
    <row r="184" spans="1:13" x14ac:dyDescent="0.6">
      <c r="A184" s="1081"/>
      <c r="B184" s="235" t="s">
        <v>319</v>
      </c>
      <c r="C184" s="263">
        <v>46837.903225806454</v>
      </c>
      <c r="D184" s="264">
        <v>63517.129032258068</v>
      </c>
      <c r="E184" s="265">
        <v>61645.838709677417</v>
      </c>
      <c r="F184" s="273">
        <v>172000.87096774194</v>
      </c>
      <c r="G184" s="274">
        <v>1320164.685118306</v>
      </c>
      <c r="H184" s="1121"/>
      <c r="I184" s="275">
        <v>1.935473453495714E-2</v>
      </c>
      <c r="J184" s="276">
        <v>1.1432240500314652E-2</v>
      </c>
      <c r="K184" s="277">
        <v>4.0534102300094056E-2</v>
      </c>
      <c r="L184" s="278">
        <v>2.386228392333134E-2</v>
      </c>
      <c r="M184" s="279">
        <v>2.8956551510029849E-2</v>
      </c>
    </row>
    <row r="185" spans="1:13" x14ac:dyDescent="0.6">
      <c r="A185" s="1081"/>
      <c r="B185" s="226" t="s">
        <v>321</v>
      </c>
      <c r="C185" s="263">
        <v>49113.5</v>
      </c>
      <c r="D185" s="264">
        <v>64878.033333333333</v>
      </c>
      <c r="E185" s="265">
        <v>61123.966666666667</v>
      </c>
      <c r="F185" s="273">
        <v>175115.5</v>
      </c>
      <c r="G185" s="274">
        <v>1495280.185118306</v>
      </c>
      <c r="H185" s="1121"/>
      <c r="I185" s="275">
        <v>2.3951658859994215E-2</v>
      </c>
      <c r="J185" s="276">
        <v>-7.7743015745892355E-3</v>
      </c>
      <c r="K185" s="277">
        <v>3.2939134000734505E-2</v>
      </c>
      <c r="L185" s="278">
        <v>1.5010312465283171E-2</v>
      </c>
      <c r="M185" s="279">
        <v>2.7303496041732656E-2</v>
      </c>
    </row>
    <row r="186" spans="1:13" x14ac:dyDescent="0.6">
      <c r="A186" s="1081"/>
      <c r="B186" s="235" t="s">
        <v>323</v>
      </c>
      <c r="C186" s="263">
        <v>49354.387096774197</v>
      </c>
      <c r="D186" s="264">
        <v>64632.096774193546</v>
      </c>
      <c r="E186" s="265">
        <v>59720.096774193546</v>
      </c>
      <c r="F186" s="273">
        <v>173706.58064516127</v>
      </c>
      <c r="G186" s="274">
        <v>1668986.7657634672</v>
      </c>
      <c r="H186" s="1121"/>
      <c r="I186" s="275">
        <v>3.837756432400672E-2</v>
      </c>
      <c r="J186" s="276">
        <v>4.2247110352791807E-2</v>
      </c>
      <c r="K186" s="277">
        <v>4.1903553785147513E-2</v>
      </c>
      <c r="L186" s="278">
        <v>4.1026855491876901E-2</v>
      </c>
      <c r="M186" s="279">
        <v>2.8714918169851611E-2</v>
      </c>
    </row>
    <row r="187" spans="1:13" x14ac:dyDescent="0.6">
      <c r="A187" s="1081"/>
      <c r="B187" s="226" t="s">
        <v>326</v>
      </c>
      <c r="C187" s="263">
        <v>48557.066666666666</v>
      </c>
      <c r="D187" s="264">
        <v>64891.366666666669</v>
      </c>
      <c r="E187" s="265">
        <v>58420.066666666666</v>
      </c>
      <c r="F187" s="273">
        <v>171868.5</v>
      </c>
      <c r="G187" s="274">
        <v>1840855.2657634672</v>
      </c>
      <c r="H187" s="1121"/>
      <c r="I187" s="275">
        <v>2.9063910650833264E-2</v>
      </c>
      <c r="J187" s="276">
        <v>4.2621972740404065E-2</v>
      </c>
      <c r="K187" s="277">
        <v>5.7702219084001694E-2</v>
      </c>
      <c r="L187" s="278">
        <v>4.3795203735273347E-2</v>
      </c>
      <c r="M187" s="279">
        <v>3.0104397697588992E-2</v>
      </c>
    </row>
    <row r="188" spans="1:13" ht="13.75" thickBot="1" x14ac:dyDescent="0.75">
      <c r="A188" s="1082"/>
      <c r="B188" s="235" t="s">
        <v>327</v>
      </c>
      <c r="C188" s="263">
        <v>45893.451612903227</v>
      </c>
      <c r="D188" s="264">
        <v>61448.193548387098</v>
      </c>
      <c r="E188" s="265">
        <v>54599.774193548386</v>
      </c>
      <c r="F188" s="273">
        <v>161941.41935483873</v>
      </c>
      <c r="G188" s="274">
        <v>2002796.685118306</v>
      </c>
      <c r="H188" s="1121"/>
      <c r="I188" s="292">
        <v>-9.6708177002484044E-3</v>
      </c>
      <c r="J188" s="282">
        <v>1.1709884971929474E-3</v>
      </c>
      <c r="K188" s="283">
        <v>2.2652394023083833E-2</v>
      </c>
      <c r="L188" s="284">
        <v>5.1712362572400306E-3</v>
      </c>
      <c r="M188" s="285">
        <v>2.8042488962377599E-2</v>
      </c>
    </row>
    <row r="189" spans="1:13" ht="16.25" thickBot="1" x14ac:dyDescent="0.75">
      <c r="A189" s="1133" t="s">
        <v>356</v>
      </c>
      <c r="B189" s="1134"/>
      <c r="C189" s="170">
        <f>AVERAGE(C177:C188)</f>
        <v>46761.943337173579</v>
      </c>
      <c r="D189" s="170">
        <f>AVERAGE(D177:D188)</f>
        <v>62537.517395279887</v>
      </c>
      <c r="E189" s="170">
        <f>AVERAGE(E177:E188)</f>
        <v>57600.263027405366</v>
      </c>
      <c r="F189" s="170">
        <f>SUM(C189:E189)</f>
        <v>166899.72375985884</v>
      </c>
      <c r="G189" s="304"/>
      <c r="H189" s="1122"/>
      <c r="I189" s="202">
        <f>I188</f>
        <v>-9.6708177002484044E-3</v>
      </c>
      <c r="J189" s="202">
        <f>J188</f>
        <v>1.1709884971929474E-3</v>
      </c>
      <c r="K189" s="203">
        <f>K188</f>
        <v>2.2652394023083833E-2</v>
      </c>
      <c r="L189" s="204"/>
      <c r="M189" s="203">
        <f>M188</f>
        <v>2.8042488962377599E-2</v>
      </c>
    </row>
    <row r="190" spans="1:13" x14ac:dyDescent="0.6">
      <c r="A190" s="1081">
        <v>2019</v>
      </c>
      <c r="B190" s="226" t="s">
        <v>295</v>
      </c>
      <c r="C190" s="263">
        <v>44642.741935483871</v>
      </c>
      <c r="D190" s="264">
        <v>58065.774193548386</v>
      </c>
      <c r="E190" s="265">
        <v>52814.774193548386</v>
      </c>
      <c r="F190" s="266">
        <v>155523.29032258064</v>
      </c>
      <c r="G190" s="267">
        <v>155523.29032258064</v>
      </c>
      <c r="H190" s="1120" t="s">
        <v>359</v>
      </c>
      <c r="I190" s="268">
        <v>6.8050322609745206E-3</v>
      </c>
      <c r="J190" s="269">
        <v>6.8154334749928915E-3</v>
      </c>
      <c r="K190" s="270">
        <v>3.502537846437058E-2</v>
      </c>
      <c r="L190" s="271">
        <v>1.6218273886985379E-2</v>
      </c>
      <c r="M190" s="272">
        <v>1.6218273886985379E-2</v>
      </c>
    </row>
    <row r="191" spans="1:13" x14ac:dyDescent="0.6">
      <c r="A191" s="1081"/>
      <c r="B191" s="235" t="s">
        <v>299</v>
      </c>
      <c r="C191" s="263">
        <v>46672.785714285717</v>
      </c>
      <c r="D191" s="264">
        <v>61999.285714285717</v>
      </c>
      <c r="E191" s="265">
        <v>56348</v>
      </c>
      <c r="F191" s="273">
        <v>165020.07142857142</v>
      </c>
      <c r="G191" s="274">
        <v>320543.36175115209</v>
      </c>
      <c r="H191" s="1121"/>
      <c r="I191" s="275">
        <v>3.8497512303390137E-2</v>
      </c>
      <c r="J191" s="276">
        <v>7.1606669053867242E-2</v>
      </c>
      <c r="K191" s="277">
        <v>9.7521341836677947E-2</v>
      </c>
      <c r="L191" s="278">
        <v>7.058472295642737E-2</v>
      </c>
      <c r="M191" s="279">
        <v>4.3498743375507853E-2</v>
      </c>
    </row>
    <row r="192" spans="1:13" x14ac:dyDescent="0.6">
      <c r="A192" s="1081"/>
      <c r="B192" s="226" t="s">
        <v>303</v>
      </c>
      <c r="C192" s="263">
        <v>48267.870967741932</v>
      </c>
      <c r="D192" s="264">
        <v>63392.258064516129</v>
      </c>
      <c r="E192" s="265">
        <v>56616.741935483871</v>
      </c>
      <c r="F192" s="273">
        <v>168276.87096774194</v>
      </c>
      <c r="G192" s="274">
        <v>488820.23271889403</v>
      </c>
      <c r="H192" s="1121"/>
      <c r="I192" s="275">
        <v>2.4495952488382558E-2</v>
      </c>
      <c r="J192" s="276">
        <v>1.9398407710351315E-2</v>
      </c>
      <c r="K192" s="277">
        <v>-1.7015952385352875E-2</v>
      </c>
      <c r="L192" s="278">
        <v>8.2706372678418294E-3</v>
      </c>
      <c r="M192" s="279">
        <v>3.1096881117401054E-2</v>
      </c>
    </row>
    <row r="193" spans="1:31" x14ac:dyDescent="0.6">
      <c r="A193" s="1081"/>
      <c r="B193" s="235" t="s">
        <v>306</v>
      </c>
      <c r="C193" s="263">
        <v>44721.599999999999</v>
      </c>
      <c r="D193" s="264">
        <v>61176.3</v>
      </c>
      <c r="E193" s="265">
        <v>56750.2</v>
      </c>
      <c r="F193" s="273">
        <v>162648.09999999998</v>
      </c>
      <c r="G193" s="274">
        <v>651468.332718894</v>
      </c>
      <c r="H193" s="1121"/>
      <c r="I193" s="275">
        <v>-5.0151966000395107E-2</v>
      </c>
      <c r="J193" s="276">
        <v>-2.2135999229592376E-2</v>
      </c>
      <c r="K193" s="277">
        <v>-9.3524941245064098E-3</v>
      </c>
      <c r="L193" s="278">
        <v>-2.5650990202638724E-2</v>
      </c>
      <c r="M193" s="279">
        <v>1.6318711963529964E-2</v>
      </c>
    </row>
    <row r="194" spans="1:31" x14ac:dyDescent="0.6">
      <c r="A194" s="1081"/>
      <c r="B194" s="226" t="s">
        <v>310</v>
      </c>
      <c r="C194" s="263">
        <v>48394.677419354841</v>
      </c>
      <c r="D194" s="264">
        <v>67411.387096774197</v>
      </c>
      <c r="E194" s="265">
        <v>62668.322580645159</v>
      </c>
      <c r="F194" s="273">
        <v>178474.38709677418</v>
      </c>
      <c r="G194" s="274">
        <v>829942.71981566818</v>
      </c>
      <c r="H194" s="1121"/>
      <c r="I194" s="275">
        <v>1.8979943503016777E-2</v>
      </c>
      <c r="J194" s="276">
        <v>4.8999592899893106E-2</v>
      </c>
      <c r="K194" s="277">
        <v>6.853181777430406E-2</v>
      </c>
      <c r="L194" s="278">
        <v>4.7355358180302565E-2</v>
      </c>
      <c r="M194" s="279">
        <v>2.2836718877805584E-2</v>
      </c>
      <c r="Z194" t="s">
        <v>264</v>
      </c>
      <c r="AA194" t="s">
        <v>312</v>
      </c>
      <c r="AB194" t="s">
        <v>360</v>
      </c>
      <c r="AC194" t="s">
        <v>334</v>
      </c>
      <c r="AD194" t="s">
        <v>361</v>
      </c>
      <c r="AE194" t="s">
        <v>362</v>
      </c>
    </row>
    <row r="195" spans="1:31" x14ac:dyDescent="0.6">
      <c r="A195" s="1081"/>
      <c r="B195" s="235" t="s">
        <v>314</v>
      </c>
      <c r="C195" s="263">
        <v>44990.2</v>
      </c>
      <c r="D195" s="264">
        <v>64227.3</v>
      </c>
      <c r="E195" s="265">
        <v>61506.366666666669</v>
      </c>
      <c r="F195" s="273">
        <v>170723.86666666667</v>
      </c>
      <c r="G195" s="274">
        <v>1000666.5864823349</v>
      </c>
      <c r="H195" s="1121"/>
      <c r="I195" s="275">
        <v>-4.699211090626787E-2</v>
      </c>
      <c r="J195" s="276">
        <v>-1.3617655189360154E-2</v>
      </c>
      <c r="K195" s="277">
        <v>8.8247997594379513E-3</v>
      </c>
      <c r="L195" s="278">
        <v>-1.4813813145482357E-2</v>
      </c>
      <c r="M195" s="279">
        <v>1.6210870710027248E-2</v>
      </c>
      <c r="Y195" t="s">
        <v>363</v>
      </c>
      <c r="Z195">
        <v>14</v>
      </c>
      <c r="AA195" t="s">
        <v>364</v>
      </c>
      <c r="AB195">
        <v>3</v>
      </c>
      <c r="AC195" t="s">
        <v>364</v>
      </c>
      <c r="AD195" t="s">
        <v>364</v>
      </c>
      <c r="AE195" t="s">
        <v>364</v>
      </c>
    </row>
    <row r="196" spans="1:31" x14ac:dyDescent="0.6">
      <c r="A196" s="1081"/>
      <c r="B196" s="226" t="s">
        <v>316</v>
      </c>
      <c r="C196" s="263">
        <v>43749.258064516129</v>
      </c>
      <c r="D196" s="264">
        <v>62981.677419354841</v>
      </c>
      <c r="E196" s="265">
        <v>60408.806451612902</v>
      </c>
      <c r="F196" s="273">
        <v>167139.74193548388</v>
      </c>
      <c r="G196" s="274">
        <v>1167806.3284178188</v>
      </c>
      <c r="H196" s="1121"/>
      <c r="I196" s="275">
        <v>1.2600888490685835E-2</v>
      </c>
      <c r="J196" s="276">
        <v>2.5248509990285384E-2</v>
      </c>
      <c r="K196" s="277">
        <v>2.6930183662332196E-2</v>
      </c>
      <c r="L196" s="278">
        <v>2.2510750142982872E-2</v>
      </c>
      <c r="M196" s="279">
        <v>1.7107762869000176E-2</v>
      </c>
      <c r="Y196" t="s">
        <v>365</v>
      </c>
      <c r="Z196">
        <v>3950</v>
      </c>
      <c r="AA196">
        <v>10</v>
      </c>
      <c r="AB196" t="s">
        <v>364</v>
      </c>
      <c r="AC196">
        <v>3</v>
      </c>
      <c r="AD196" t="s">
        <v>364</v>
      </c>
      <c r="AE196" t="s">
        <v>364</v>
      </c>
    </row>
    <row r="197" spans="1:31" x14ac:dyDescent="0.6">
      <c r="A197" s="1081"/>
      <c r="B197" s="235" t="s">
        <v>319</v>
      </c>
      <c r="C197" s="263">
        <v>46647.354838709674</v>
      </c>
      <c r="D197" s="264">
        <v>63398.516129032258</v>
      </c>
      <c r="E197" s="265">
        <v>62568.06451612903</v>
      </c>
      <c r="F197" s="273">
        <v>172613.93548387097</v>
      </c>
      <c r="G197" s="274">
        <v>1340420.2639016898</v>
      </c>
      <c r="H197" s="1121"/>
      <c r="I197" s="275">
        <v>-4.068251863840756E-3</v>
      </c>
      <c r="J197" s="276">
        <v>-1.8674160031000647E-3</v>
      </c>
      <c r="K197" s="277">
        <v>1.4960065849616526E-2</v>
      </c>
      <c r="L197" s="278">
        <v>3.564310533311188E-3</v>
      </c>
      <c r="M197" s="279">
        <v>1.5343221199382917E-2</v>
      </c>
      <c r="Y197" t="s">
        <v>366</v>
      </c>
      <c r="Z197">
        <v>5758</v>
      </c>
      <c r="AA197">
        <v>52</v>
      </c>
      <c r="AB197" t="s">
        <v>364</v>
      </c>
      <c r="AC197" t="s">
        <v>364</v>
      </c>
      <c r="AD197" t="s">
        <v>364</v>
      </c>
      <c r="AE197">
        <v>1</v>
      </c>
    </row>
    <row r="198" spans="1:31" x14ac:dyDescent="0.6">
      <c r="A198" s="1081"/>
      <c r="B198" s="226" t="s">
        <v>321</v>
      </c>
      <c r="C198" s="263">
        <v>48423.7</v>
      </c>
      <c r="D198" s="264">
        <v>64866.3</v>
      </c>
      <c r="E198" s="265">
        <v>62377.751281927784</v>
      </c>
      <c r="F198" s="273">
        <v>175667.75128192778</v>
      </c>
      <c r="G198" s="274">
        <v>1516088.0151836176</v>
      </c>
      <c r="H198" s="1121"/>
      <c r="I198" s="275">
        <v>-1.404501817219304E-2</v>
      </c>
      <c r="J198" s="276">
        <v>-1.8085217338580347E-4</v>
      </c>
      <c r="K198" s="277">
        <v>2.0512160509780119E-2</v>
      </c>
      <c r="L198" s="278">
        <v>3.1536402084781923E-3</v>
      </c>
      <c r="M198" s="279">
        <v>1.3915672977145244E-2</v>
      </c>
      <c r="S198" s="31">
        <f>S199*(1-U198)</f>
        <v>1527787.18</v>
      </c>
      <c r="U198" s="147">
        <v>9.1999999999999998E-2</v>
      </c>
      <c r="Y198" t="s">
        <v>367</v>
      </c>
      <c r="Z198">
        <v>12383</v>
      </c>
      <c r="AA198">
        <v>245</v>
      </c>
      <c r="AB198">
        <v>15</v>
      </c>
      <c r="AC198">
        <v>2</v>
      </c>
      <c r="AD198" t="s">
        <v>364</v>
      </c>
      <c r="AE198">
        <v>26</v>
      </c>
    </row>
    <row r="199" spans="1:31" x14ac:dyDescent="0.6">
      <c r="A199" s="1081"/>
      <c r="B199" s="235" t="s">
        <v>323</v>
      </c>
      <c r="C199" s="294">
        <v>48885.387096774197</v>
      </c>
      <c r="D199" s="295">
        <v>66077.548387096773</v>
      </c>
      <c r="E199" s="296">
        <v>61538.261715171757</v>
      </c>
      <c r="F199" s="297">
        <v>176501.19719904271</v>
      </c>
      <c r="G199" s="298">
        <v>1692589.2123826602</v>
      </c>
      <c r="H199" s="1121"/>
      <c r="I199" s="299">
        <v>-9.5027013319076113E-3</v>
      </c>
      <c r="J199" s="300">
        <v>2.2364300170443649E-2</v>
      </c>
      <c r="K199" s="301">
        <v>3.0444775530971392E-2</v>
      </c>
      <c r="L199" s="302">
        <v>1.6088144407091498E-2</v>
      </c>
      <c r="M199" s="303">
        <v>1.4141781770448114E-2</v>
      </c>
      <c r="S199">
        <v>1682585</v>
      </c>
      <c r="U199">
        <f>(S204-S198)/S198</f>
        <v>0.32544769749933372</v>
      </c>
      <c r="Y199" t="s">
        <v>368</v>
      </c>
      <c r="Z199">
        <v>35410</v>
      </c>
      <c r="AA199">
        <v>1697</v>
      </c>
      <c r="AB199" t="s">
        <v>364</v>
      </c>
      <c r="AC199">
        <v>88</v>
      </c>
      <c r="AD199" t="s">
        <v>364</v>
      </c>
      <c r="AE199">
        <v>1660</v>
      </c>
    </row>
    <row r="200" spans="1:31" x14ac:dyDescent="0.6">
      <c r="A200" s="1081"/>
      <c r="B200" s="226" t="s">
        <v>326</v>
      </c>
      <c r="C200" s="263">
        <v>47883.533333333333</v>
      </c>
      <c r="D200" s="264">
        <v>64801.866666666669</v>
      </c>
      <c r="E200" s="265">
        <v>59477.23333333333</v>
      </c>
      <c r="F200" s="273">
        <v>172162.63333333333</v>
      </c>
      <c r="G200" s="274">
        <v>1864751.8457159935</v>
      </c>
      <c r="H200" s="1121"/>
      <c r="I200" s="275">
        <v>-1.3870964198825839E-2</v>
      </c>
      <c r="J200" s="276">
        <v>-1.379228156185132E-3</v>
      </c>
      <c r="K200" s="277">
        <v>1.8095951048783424E-2</v>
      </c>
      <c r="L200" s="278">
        <v>1.7113859336255199E-3</v>
      </c>
      <c r="M200" s="279">
        <v>1.2981237795800071E-2</v>
      </c>
      <c r="U200">
        <f>(S204-S199)/S199</f>
        <v>0.20350650932939496</v>
      </c>
      <c r="Y200" t="s">
        <v>369</v>
      </c>
      <c r="Z200">
        <v>71575</v>
      </c>
      <c r="AA200">
        <v>22854</v>
      </c>
      <c r="AB200">
        <v>50</v>
      </c>
      <c r="AC200">
        <v>2350</v>
      </c>
      <c r="AD200">
        <v>406</v>
      </c>
      <c r="AE200">
        <v>1938</v>
      </c>
    </row>
    <row r="201" spans="1:31" ht="13.75" thickBot="1" x14ac:dyDescent="0.75">
      <c r="A201" s="1082"/>
      <c r="B201" s="235" t="s">
        <v>327</v>
      </c>
      <c r="C201" s="263">
        <v>44881.161290322583</v>
      </c>
      <c r="D201" s="264">
        <v>60800.129032258068</v>
      </c>
      <c r="E201" s="265">
        <v>54568.806451612902</v>
      </c>
      <c r="F201" s="273">
        <v>160250.09677419355</v>
      </c>
      <c r="G201" s="274">
        <v>2025001.942490187</v>
      </c>
      <c r="H201" s="1121"/>
      <c r="I201" s="292">
        <v>-2.2057402243766566E-2</v>
      </c>
      <c r="J201" s="282">
        <v>-1.0546518598935134E-2</v>
      </c>
      <c r="K201" s="283">
        <v>-5.6717710636876621E-4</v>
      </c>
      <c r="L201" s="284">
        <v>-1.0444039501341096E-2</v>
      </c>
      <c r="M201" s="285">
        <v>1.1087125087072547E-2</v>
      </c>
      <c r="S201">
        <v>1803811</v>
      </c>
      <c r="Y201" t="s">
        <v>370</v>
      </c>
      <c r="Z201">
        <v>30232</v>
      </c>
      <c r="AA201">
        <v>30690</v>
      </c>
      <c r="AB201">
        <v>289</v>
      </c>
      <c r="AC201">
        <v>851</v>
      </c>
      <c r="AD201">
        <v>4301</v>
      </c>
      <c r="AE201">
        <v>1203</v>
      </c>
    </row>
    <row r="202" spans="1:31" ht="16.25" thickBot="1" x14ac:dyDescent="0.75">
      <c r="A202" s="1133" t="s">
        <v>356</v>
      </c>
      <c r="B202" s="1134"/>
      <c r="C202" s="305">
        <v>46510</v>
      </c>
      <c r="D202" s="305">
        <v>63270</v>
      </c>
      <c r="E202" s="305">
        <v>58970</v>
      </c>
      <c r="F202" s="170">
        <v>168750</v>
      </c>
      <c r="G202" s="304"/>
      <c r="H202" s="1122"/>
      <c r="I202" s="202">
        <v>-5.3464499572284385E-3</v>
      </c>
      <c r="J202" s="202">
        <v>1.1672529581068014E-2</v>
      </c>
      <c r="K202" s="203">
        <v>2.3784722222222276E-2</v>
      </c>
      <c r="L202" s="306"/>
      <c r="M202" s="203">
        <v>1.1087125087072547E-2</v>
      </c>
      <c r="O202" s="160">
        <f>AVERAGE(L190:L201)</f>
        <v>1.1545698388965353E-2</v>
      </c>
      <c r="S202">
        <v>1948165</v>
      </c>
      <c r="T202">
        <f>(S202-S201)/S201</f>
        <v>8.0027231234314461E-2</v>
      </c>
      <c r="Y202" t="s">
        <v>371</v>
      </c>
      <c r="Z202">
        <v>9170</v>
      </c>
      <c r="AA202">
        <v>38544</v>
      </c>
      <c r="AB202">
        <v>6</v>
      </c>
      <c r="AC202">
        <v>105</v>
      </c>
      <c r="AD202">
        <v>1080</v>
      </c>
      <c r="AE202">
        <v>404</v>
      </c>
    </row>
    <row r="203" spans="1:31" ht="12.75" customHeight="1" x14ac:dyDescent="0.6">
      <c r="A203" s="1135" t="s">
        <v>372</v>
      </c>
      <c r="B203" s="426" t="s">
        <v>295</v>
      </c>
      <c r="C203" s="430">
        <v>43332.290322580644</v>
      </c>
      <c r="D203" s="431">
        <v>57700.516129032258</v>
      </c>
      <c r="E203" s="432">
        <v>52034.419354838712</v>
      </c>
      <c r="F203" s="445">
        <v>153067.22580645164</v>
      </c>
      <c r="G203" s="446">
        <v>153067.22580645164</v>
      </c>
      <c r="H203" s="1137" t="s">
        <v>359</v>
      </c>
      <c r="I203" s="458">
        <v>-2.9354191881785532E-2</v>
      </c>
      <c r="J203" s="459">
        <v>-6.2904192631381833E-3</v>
      </c>
      <c r="K203" s="460">
        <v>-1.4775313359287239E-2</v>
      </c>
      <c r="L203" s="461">
        <v>-1.5792261795868123E-2</v>
      </c>
      <c r="M203" s="462">
        <v>-1.5792261795868123E-2</v>
      </c>
      <c r="S203">
        <v>2002797</v>
      </c>
      <c r="T203">
        <f>(S203-S202)/S202</f>
        <v>2.8042799249550217E-2</v>
      </c>
      <c r="Y203" t="s">
        <v>373</v>
      </c>
      <c r="Z203">
        <v>3785</v>
      </c>
      <c r="AA203">
        <v>15013</v>
      </c>
      <c r="AB203">
        <v>25</v>
      </c>
      <c r="AC203">
        <v>39</v>
      </c>
      <c r="AD203">
        <v>1384</v>
      </c>
      <c r="AE203">
        <v>8</v>
      </c>
    </row>
    <row r="204" spans="1:31" x14ac:dyDescent="0.6">
      <c r="A204" s="1135"/>
      <c r="B204" s="427" t="s">
        <v>299</v>
      </c>
      <c r="C204" s="430">
        <v>45272.517241379312</v>
      </c>
      <c r="D204" s="431">
        <v>61550.793103448275</v>
      </c>
      <c r="E204" s="432">
        <v>56757.310344827587</v>
      </c>
      <c r="F204" s="433">
        <v>163580.62068965519</v>
      </c>
      <c r="G204" s="434">
        <v>316647.84649610682</v>
      </c>
      <c r="H204" s="1138"/>
      <c r="I204" s="435">
        <v>-3.0001819078860088E-2</v>
      </c>
      <c r="J204" s="436">
        <v>-7.2338351268150421E-3</v>
      </c>
      <c r="K204" s="437">
        <v>7.2639728974868136E-3</v>
      </c>
      <c r="L204" s="438">
        <v>-8.7228827769554318E-3</v>
      </c>
      <c r="M204" s="439">
        <v>-1.2152849566947066E-2</v>
      </c>
      <c r="S204">
        <v>2025002</v>
      </c>
      <c r="T204">
        <f>(S204-S203)/S203</f>
        <v>1.1086994837719449E-2</v>
      </c>
      <c r="U204">
        <f>(S204-S202)/S202</f>
        <v>3.9440704457784637E-2</v>
      </c>
      <c r="Y204" t="s">
        <v>374</v>
      </c>
      <c r="Z204">
        <v>281</v>
      </c>
      <c r="AA204">
        <v>4179</v>
      </c>
      <c r="AB204" t="s">
        <v>364</v>
      </c>
      <c r="AC204" t="s">
        <v>364</v>
      </c>
      <c r="AD204" t="s">
        <v>364</v>
      </c>
      <c r="AE204" t="s">
        <v>364</v>
      </c>
    </row>
    <row r="205" spans="1:31" x14ac:dyDescent="0.6">
      <c r="A205" s="1135"/>
      <c r="B205" s="426" t="s">
        <v>303</v>
      </c>
      <c r="C205" s="430">
        <v>35126.774193548386</v>
      </c>
      <c r="D205" s="431">
        <v>51849.741935483871</v>
      </c>
      <c r="E205" s="432">
        <v>46524.032258064515</v>
      </c>
      <c r="F205" s="433">
        <v>133500.54838709679</v>
      </c>
      <c r="G205" s="434">
        <v>450148.39488320361</v>
      </c>
      <c r="H205" s="1138"/>
      <c r="I205" s="435">
        <v>-0.27225349928891451</v>
      </c>
      <c r="J205" s="436">
        <v>-0.18208084837875796</v>
      </c>
      <c r="K205" s="437">
        <v>-0.17826369607986697</v>
      </c>
      <c r="L205" s="438">
        <v>-0.20666133367378603</v>
      </c>
      <c r="M205" s="439">
        <v>-7.9112596507291966E-2</v>
      </c>
      <c r="Y205" t="s">
        <v>375</v>
      </c>
      <c r="Z205">
        <v>104</v>
      </c>
      <c r="AA205">
        <v>9355</v>
      </c>
      <c r="AB205">
        <v>33</v>
      </c>
      <c r="AC205">
        <v>16</v>
      </c>
      <c r="AD205" t="s">
        <v>364</v>
      </c>
      <c r="AE205" t="s">
        <v>364</v>
      </c>
    </row>
    <row r="206" spans="1:31" x14ac:dyDescent="0.6">
      <c r="A206" s="1135"/>
      <c r="B206" s="427" t="s">
        <v>306</v>
      </c>
      <c r="C206" s="430">
        <v>28013.166666666668</v>
      </c>
      <c r="D206" s="431">
        <v>47126.400000000001</v>
      </c>
      <c r="E206" s="432">
        <v>42406.9</v>
      </c>
      <c r="F206" s="433">
        <v>117546.46666666667</v>
      </c>
      <c r="G206" s="434">
        <v>567694.86154987034</v>
      </c>
      <c r="H206" s="1138"/>
      <c r="I206" s="435">
        <v>-0.37360991854793502</v>
      </c>
      <c r="J206" s="436">
        <v>-0.22966246732803391</v>
      </c>
      <c r="K206" s="437">
        <v>-0.25274448371988112</v>
      </c>
      <c r="L206" s="438">
        <v>-0.27729578970386559</v>
      </c>
      <c r="M206" s="439">
        <v>-0.12859177792939869</v>
      </c>
    </row>
    <row r="207" spans="1:31" x14ac:dyDescent="0.6">
      <c r="A207" s="1135"/>
      <c r="B207" s="426" t="s">
        <v>310</v>
      </c>
      <c r="C207" s="430">
        <v>39763.387096774197</v>
      </c>
      <c r="D207" s="431">
        <v>63616.93548387097</v>
      </c>
      <c r="E207" s="432">
        <v>58081</v>
      </c>
      <c r="F207" s="433">
        <v>161461.32258064515</v>
      </c>
      <c r="G207" s="434">
        <v>729156.18413051544</v>
      </c>
      <c r="H207" s="1138"/>
      <c r="I207" s="435">
        <v>-1.5505598997114897E-2</v>
      </c>
      <c r="J207" s="436">
        <v>3.2133272507692656E-2</v>
      </c>
      <c r="K207" s="437">
        <v>1.2254015979917479E-2</v>
      </c>
      <c r="L207" s="438">
        <v>1.2417322631711691E-2</v>
      </c>
      <c r="M207" s="439">
        <v>-9.8600876340504406E-2</v>
      </c>
    </row>
    <row r="208" spans="1:31" x14ac:dyDescent="0.6">
      <c r="A208" s="1135"/>
      <c r="B208" s="427" t="s">
        <v>314</v>
      </c>
      <c r="C208" s="430">
        <v>44292.6</v>
      </c>
      <c r="D208" s="431">
        <v>66291.133333333331</v>
      </c>
      <c r="E208" s="432">
        <v>62260.066666666666</v>
      </c>
      <c r="F208" s="433">
        <v>172843.8</v>
      </c>
      <c r="G208" s="434">
        <v>901999.98413051548</v>
      </c>
      <c r="H208" s="1138"/>
      <c r="I208" s="435">
        <v>-1.5505598997114897E-2</v>
      </c>
      <c r="J208" s="436">
        <v>3.2133272507692656E-2</v>
      </c>
      <c r="K208" s="437">
        <v>1.2254015979917479E-2</v>
      </c>
      <c r="L208" s="438">
        <v>1.2417322631711691E-2</v>
      </c>
      <c r="M208" s="439">
        <v>-9.8600876340504406E-2</v>
      </c>
    </row>
    <row r="209" spans="1:21" x14ac:dyDescent="0.6">
      <c r="A209" s="1135"/>
      <c r="B209" s="426" t="s">
        <v>316</v>
      </c>
      <c r="C209" s="430">
        <v>39867.677419354841</v>
      </c>
      <c r="D209" s="431">
        <v>62533.677419354841</v>
      </c>
      <c r="E209" s="432">
        <v>59020.225806451614</v>
      </c>
      <c r="F209" s="433">
        <v>161421.5806451613</v>
      </c>
      <c r="G209" s="434">
        <v>1063421.5647756767</v>
      </c>
      <c r="H209" s="1138"/>
      <c r="I209" s="435">
        <v>-8.8723347935117006E-2</v>
      </c>
      <c r="J209" s="436">
        <v>-7.1131798700287642E-3</v>
      </c>
      <c r="K209" s="437">
        <v>-2.2986394314437133E-2</v>
      </c>
      <c r="L209" s="438">
        <v>-3.4211859035475745E-2</v>
      </c>
      <c r="M209" s="439">
        <v>-8.9385338220906774E-2</v>
      </c>
      <c r="S209" s="307">
        <v>2.7777770000000001E-7</v>
      </c>
      <c r="U209">
        <v>74.069999999999993</v>
      </c>
    </row>
    <row r="210" spans="1:21" x14ac:dyDescent="0.6">
      <c r="A210" s="1135"/>
      <c r="B210" s="427" t="s">
        <v>319</v>
      </c>
      <c r="C210" s="430">
        <v>40612.612903225803</v>
      </c>
      <c r="D210" s="431">
        <v>61342.225806451614</v>
      </c>
      <c r="E210" s="432">
        <v>58116.096774193546</v>
      </c>
      <c r="F210" s="433">
        <v>160070.93548387097</v>
      </c>
      <c r="G210" s="434">
        <v>1223492.5002595477</v>
      </c>
      <c r="H210" s="1138"/>
      <c r="I210" s="435">
        <v>-0.12936943490900843</v>
      </c>
      <c r="J210" s="436">
        <v>-3.2434360425653577E-2</v>
      </c>
      <c r="K210" s="437">
        <v>-7.1153994875258447E-2</v>
      </c>
      <c r="L210" s="438">
        <v>-7.2665048536431853E-2</v>
      </c>
      <c r="M210" s="439">
        <v>-8.7232166501115982E-2</v>
      </c>
      <c r="P210">
        <v>8.8000000000000007</v>
      </c>
      <c r="Q210" t="s">
        <v>376</v>
      </c>
      <c r="S210" s="307">
        <v>1000000000000</v>
      </c>
    </row>
    <row r="211" spans="1:21" x14ac:dyDescent="0.6">
      <c r="A211" s="1135"/>
      <c r="B211" s="426" t="s">
        <v>321</v>
      </c>
      <c r="C211" s="430">
        <v>44213.633333333331</v>
      </c>
      <c r="D211" s="431">
        <v>64904.866666666669</v>
      </c>
      <c r="E211" s="432">
        <v>58732.26666666667</v>
      </c>
      <c r="F211" s="433">
        <v>167850.76666666666</v>
      </c>
      <c r="G211" s="434">
        <v>1391343.2669262143</v>
      </c>
      <c r="H211" s="1138"/>
      <c r="I211" s="435">
        <v>-8.6942275511096137E-2</v>
      </c>
      <c r="J211" s="436">
        <v>5.9455628988651572E-4</v>
      </c>
      <c r="K211" s="437">
        <v>-5.8442065325257905E-2</v>
      </c>
      <c r="L211" s="438">
        <v>-4.4498688906854045E-2</v>
      </c>
      <c r="M211" s="439">
        <v>-8.2280676984505474E-2</v>
      </c>
      <c r="P211">
        <f>P210/1000000</f>
        <v>8.8000000000000004E-6</v>
      </c>
      <c r="Q211" t="s">
        <v>377</v>
      </c>
      <c r="S211" s="307">
        <f>S209*S210</f>
        <v>277777.7</v>
      </c>
      <c r="T211" t="s">
        <v>378</v>
      </c>
    </row>
    <row r="212" spans="1:21" x14ac:dyDescent="0.6">
      <c r="A212" s="1135"/>
      <c r="B212" s="427" t="s">
        <v>323</v>
      </c>
      <c r="C212" s="448">
        <v>35015.451612903227</v>
      </c>
      <c r="D212" s="449">
        <v>55922.645161290326</v>
      </c>
      <c r="E212" s="450">
        <v>50345.129032258068</v>
      </c>
      <c r="F212" s="451">
        <v>141283.22580645161</v>
      </c>
      <c r="G212" s="452">
        <v>1532626.492732666</v>
      </c>
      <c r="H212" s="1138"/>
      <c r="I212" s="453">
        <v>-0.2837235482336235</v>
      </c>
      <c r="J212" s="454">
        <v>-0.15368159796602618</v>
      </c>
      <c r="K212" s="455">
        <v>-0.18188899671428505</v>
      </c>
      <c r="L212" s="456">
        <v>-0.19953389524534126</v>
      </c>
      <c r="M212" s="457">
        <v>-9.4507703629290285E-2</v>
      </c>
      <c r="P212">
        <f>P211*S211</f>
        <v>2.4444437600000004</v>
      </c>
      <c r="Q212" t="s">
        <v>379</v>
      </c>
    </row>
    <row r="213" spans="1:21" x14ac:dyDescent="0.6">
      <c r="A213" s="1135"/>
      <c r="B213" s="426" t="s">
        <v>326</v>
      </c>
      <c r="C213" s="430">
        <v>34626.9</v>
      </c>
      <c r="D213" s="431">
        <v>54664.7</v>
      </c>
      <c r="E213" s="432">
        <v>48428.2</v>
      </c>
      <c r="F213" s="433">
        <v>137719.79999999999</v>
      </c>
      <c r="G213" s="434">
        <v>1670346.292732666</v>
      </c>
      <c r="H213" s="1138"/>
      <c r="I213" s="435">
        <v>-0.27685161078338688</v>
      </c>
      <c r="J213" s="436">
        <v>-0.15643325089400723</v>
      </c>
      <c r="K213" s="437">
        <v>-0.18576912062150391</v>
      </c>
      <c r="L213" s="438">
        <v>-0.20005986587488311</v>
      </c>
      <c r="M213" s="439">
        <v>-0.10425277413182188</v>
      </c>
      <c r="P213">
        <v>74.069999999999993</v>
      </c>
      <c r="Q213" t="s">
        <v>379</v>
      </c>
      <c r="S213" s="307">
        <f>P213/S211*1000000</f>
        <v>266.6520746625809</v>
      </c>
    </row>
    <row r="214" spans="1:21" ht="13.75" thickBot="1" x14ac:dyDescent="0.75">
      <c r="A214" s="1136"/>
      <c r="B214" s="427" t="s">
        <v>327</v>
      </c>
      <c r="C214" s="430">
        <v>38729.93548387097</v>
      </c>
      <c r="D214" s="431">
        <v>58926.419354838712</v>
      </c>
      <c r="E214" s="432">
        <v>50302.838709677417</v>
      </c>
      <c r="F214" s="433">
        <v>147959.19354838709</v>
      </c>
      <c r="G214" s="434">
        <v>1818305.4862810532</v>
      </c>
      <c r="H214" s="1138"/>
      <c r="I214" s="444">
        <v>-0.1370558521572382</v>
      </c>
      <c r="J214" s="440">
        <v>-3.081752797638377E-2</v>
      </c>
      <c r="K214" s="441">
        <v>-7.8175940053191229E-2</v>
      </c>
      <c r="L214" s="442">
        <v>-7.6698257743490927E-2</v>
      </c>
      <c r="M214" s="443">
        <v>-0.10207222614065981</v>
      </c>
    </row>
    <row r="215" spans="1:21" ht="16.25" thickBot="1" x14ac:dyDescent="0.75">
      <c r="A215" s="1140" t="s">
        <v>356</v>
      </c>
      <c r="B215" s="1141"/>
      <c r="C215" s="463">
        <v>39100</v>
      </c>
      <c r="D215" s="463">
        <v>58900</v>
      </c>
      <c r="E215" s="463">
        <v>53600</v>
      </c>
      <c r="F215" s="463"/>
      <c r="G215" s="447"/>
      <c r="H215" s="1139"/>
      <c r="I215" s="428"/>
      <c r="J215" s="428"/>
      <c r="K215" s="429"/>
      <c r="L215" s="464"/>
      <c r="M215" s="429">
        <v>-0.10207222614065981</v>
      </c>
    </row>
    <row r="216" spans="1:21" x14ac:dyDescent="0.6">
      <c r="A216" s="1135" t="s">
        <v>380</v>
      </c>
      <c r="B216" s="426" t="s">
        <v>295</v>
      </c>
      <c r="C216" s="430">
        <v>38182.838709677417</v>
      </c>
      <c r="D216" s="431">
        <v>54011.193548387098</v>
      </c>
      <c r="E216" s="432">
        <v>51048.193548387098</v>
      </c>
      <c r="F216" s="445">
        <v>143242.22580645161</v>
      </c>
      <c r="G216" s="446">
        <v>143242.22580645161</v>
      </c>
      <c r="H216" s="1137" t="s">
        <v>381</v>
      </c>
      <c r="I216" s="465">
        <v>-0.11883635908854386</v>
      </c>
      <c r="J216" s="466">
        <v>-6.3939160828214173E-2</v>
      </c>
      <c r="K216" s="467">
        <v>-1.8953335478315545E-2</v>
      </c>
      <c r="L216" s="468">
        <v>-6.4187483298504433E-2</v>
      </c>
      <c r="M216" s="469">
        <v>-6.4187483298504433E-2</v>
      </c>
    </row>
    <row r="217" spans="1:21" x14ac:dyDescent="0.6">
      <c r="A217" s="1135"/>
      <c r="B217" s="427" t="s">
        <v>299</v>
      </c>
      <c r="C217" s="430">
        <v>42442.964285714283</v>
      </c>
      <c r="D217" s="431">
        <v>63244.714285714283</v>
      </c>
      <c r="E217" s="432">
        <v>56630.821428571428</v>
      </c>
      <c r="F217" s="433">
        <v>162318.5</v>
      </c>
      <c r="G217" s="434">
        <v>305560.72580645164</v>
      </c>
      <c r="H217" s="1138"/>
      <c r="I217" s="492">
        <v>-6.2500455642409108E-2</v>
      </c>
      <c r="J217" s="436">
        <v>2.7520704394808332E-2</v>
      </c>
      <c r="K217" s="493">
        <v>-2.2285925017883909E-3</v>
      </c>
      <c r="L217" s="494">
        <v>-7.7155880955463996E-3</v>
      </c>
      <c r="M217" s="495">
        <v>-3.5014041031198095E-2</v>
      </c>
    </row>
    <row r="218" spans="1:21" x14ac:dyDescent="0.6">
      <c r="A218" s="1135"/>
      <c r="B218" s="426" t="s">
        <v>303</v>
      </c>
      <c r="C218" s="430">
        <v>43826.612903225803</v>
      </c>
      <c r="D218" s="431">
        <v>64973.290322580644</v>
      </c>
      <c r="E218" s="432">
        <v>57674.258064516129</v>
      </c>
      <c r="F218" s="433">
        <v>166474.16129032258</v>
      </c>
      <c r="G218" s="434">
        <v>472034.88709677418</v>
      </c>
      <c r="H218" s="1138"/>
      <c r="I218" s="435">
        <v>0.24766973083669283</v>
      </c>
      <c r="J218" s="436">
        <v>0.2531073038594151</v>
      </c>
      <c r="K218" s="437">
        <v>0.23966593747941578</v>
      </c>
      <c r="L218" s="438">
        <v>0.24699234049298324</v>
      </c>
      <c r="M218" s="439">
        <v>4.8620615917666976E-2</v>
      </c>
    </row>
    <row r="219" spans="1:21" x14ac:dyDescent="0.6">
      <c r="A219" s="1135"/>
      <c r="B219" s="427" t="s">
        <v>306</v>
      </c>
      <c r="C219" s="430">
        <v>39560.366666666669</v>
      </c>
      <c r="D219" s="431">
        <v>60303</v>
      </c>
      <c r="E219" s="432">
        <v>54850</v>
      </c>
      <c r="F219" s="433">
        <v>154713.36666666667</v>
      </c>
      <c r="G219" s="434">
        <v>626748.25376344088</v>
      </c>
      <c r="H219" s="1138"/>
      <c r="I219" s="435">
        <v>0.41220616495814472</v>
      </c>
      <c r="J219" s="436">
        <v>0.27960124261560393</v>
      </c>
      <c r="K219" s="437">
        <v>0.29342158941115709</v>
      </c>
      <c r="L219" s="438">
        <v>0.31618900213645995</v>
      </c>
      <c r="M219" s="439">
        <v>0.10402312265492086</v>
      </c>
    </row>
    <row r="220" spans="1:21" x14ac:dyDescent="0.6">
      <c r="A220" s="1135"/>
      <c r="B220" s="426" t="s">
        <v>310</v>
      </c>
      <c r="C220" s="430">
        <v>44441.838709677417</v>
      </c>
      <c r="D220" s="431">
        <v>68296.290322580651</v>
      </c>
      <c r="E220" s="432">
        <v>61616.419354838712</v>
      </c>
      <c r="F220" s="433">
        <v>174354.54838709679</v>
      </c>
      <c r="G220" s="434">
        <v>801102.80215053773</v>
      </c>
      <c r="H220" s="1138"/>
      <c r="I220" s="435">
        <v>0.11765727103470919</v>
      </c>
      <c r="J220" s="436">
        <v>7.3555175255118274E-2</v>
      </c>
      <c r="K220" s="437">
        <v>6.0870497319927552E-2</v>
      </c>
      <c r="L220" s="438">
        <v>7.9853339489473374E-2</v>
      </c>
      <c r="M220" s="439">
        <v>9.8671066070454172E-2</v>
      </c>
    </row>
    <row r="221" spans="1:21" x14ac:dyDescent="0.6">
      <c r="A221" s="1135"/>
      <c r="B221" s="427" t="s">
        <v>314</v>
      </c>
      <c r="C221" s="470"/>
      <c r="D221" s="471"/>
      <c r="E221" s="472"/>
      <c r="F221" s="473"/>
      <c r="G221" s="474"/>
      <c r="H221" s="1138"/>
      <c r="I221" s="475"/>
      <c r="J221" s="476"/>
      <c r="K221" s="477"/>
      <c r="L221" s="478"/>
      <c r="M221" s="479"/>
    </row>
    <row r="222" spans="1:21" x14ac:dyDescent="0.6">
      <c r="A222" s="1135"/>
      <c r="B222" s="426" t="s">
        <v>316</v>
      </c>
      <c r="C222" s="470"/>
      <c r="D222" s="471"/>
      <c r="E222" s="472"/>
      <c r="F222" s="473"/>
      <c r="G222" s="474"/>
      <c r="H222" s="1138"/>
      <c r="I222" s="475"/>
      <c r="J222" s="476"/>
      <c r="K222" s="477"/>
      <c r="L222" s="478"/>
      <c r="M222" s="479"/>
    </row>
    <row r="223" spans="1:21" x14ac:dyDescent="0.6">
      <c r="A223" s="1135"/>
      <c r="B223" s="427" t="s">
        <v>319</v>
      </c>
      <c r="C223" s="470"/>
      <c r="D223" s="471"/>
      <c r="E223" s="472"/>
      <c r="F223" s="473"/>
      <c r="G223" s="474"/>
      <c r="H223" s="1138"/>
      <c r="I223" s="475"/>
      <c r="J223" s="476"/>
      <c r="K223" s="477"/>
      <c r="L223" s="478"/>
      <c r="M223" s="479"/>
    </row>
    <row r="224" spans="1:21" x14ac:dyDescent="0.6">
      <c r="A224" s="1135"/>
      <c r="B224" s="426" t="s">
        <v>321</v>
      </c>
      <c r="C224" s="470"/>
      <c r="D224" s="471"/>
      <c r="E224" s="472"/>
      <c r="F224" s="473"/>
      <c r="G224" s="474"/>
      <c r="H224" s="1138"/>
      <c r="I224" s="475"/>
      <c r="J224" s="476"/>
      <c r="K224" s="477"/>
      <c r="L224" s="478"/>
      <c r="M224" s="479"/>
    </row>
    <row r="225" spans="1:13" x14ac:dyDescent="0.6">
      <c r="A225" s="1135"/>
      <c r="B225" s="427" t="s">
        <v>323</v>
      </c>
      <c r="C225" s="470"/>
      <c r="D225" s="471"/>
      <c r="E225" s="472"/>
      <c r="F225" s="473"/>
      <c r="G225" s="474"/>
      <c r="H225" s="1138"/>
      <c r="I225" s="475"/>
      <c r="J225" s="476"/>
      <c r="K225" s="477"/>
      <c r="L225" s="478"/>
      <c r="M225" s="479"/>
    </row>
    <row r="226" spans="1:13" x14ac:dyDescent="0.6">
      <c r="A226" s="1135"/>
      <c r="B226" s="426" t="s">
        <v>326</v>
      </c>
      <c r="C226" s="470"/>
      <c r="D226" s="471"/>
      <c r="E226" s="472"/>
      <c r="F226" s="473"/>
      <c r="G226" s="474"/>
      <c r="H226" s="1138"/>
      <c r="I226" s="475"/>
      <c r="J226" s="476"/>
      <c r="K226" s="477"/>
      <c r="L226" s="478"/>
      <c r="M226" s="479"/>
    </row>
    <row r="227" spans="1:13" ht="13.75" thickBot="1" x14ac:dyDescent="0.75">
      <c r="A227" s="1136"/>
      <c r="B227" s="427" t="s">
        <v>327</v>
      </c>
      <c r="C227" s="470"/>
      <c r="D227" s="471"/>
      <c r="E227" s="472"/>
      <c r="F227" s="480"/>
      <c r="G227" s="474"/>
      <c r="H227" s="1138"/>
      <c r="I227" s="481"/>
      <c r="J227" s="482"/>
      <c r="K227" s="483"/>
      <c r="L227" s="484"/>
      <c r="M227" s="485"/>
    </row>
    <row r="228" spans="1:13" ht="16.25" thickBot="1" x14ac:dyDescent="0.75">
      <c r="A228" s="1140" t="s">
        <v>356</v>
      </c>
      <c r="B228" s="1141"/>
      <c r="C228" s="486"/>
      <c r="D228" s="486"/>
      <c r="E228" s="486"/>
      <c r="F228" s="487"/>
      <c r="G228" s="447"/>
      <c r="H228" s="1139"/>
      <c r="I228" s="488"/>
      <c r="J228" s="488"/>
      <c r="K228" s="489"/>
      <c r="L228" s="490"/>
      <c r="M228" s="491"/>
    </row>
  </sheetData>
  <mergeCells count="55">
    <mergeCell ref="A216:A227"/>
    <mergeCell ref="H216:H228"/>
    <mergeCell ref="A228:B228"/>
    <mergeCell ref="A203:A214"/>
    <mergeCell ref="H203:H215"/>
    <mergeCell ref="A215:B215"/>
    <mergeCell ref="A190:A201"/>
    <mergeCell ref="H190:H202"/>
    <mergeCell ref="A202:B202"/>
    <mergeCell ref="A164:A175"/>
    <mergeCell ref="H164:H176"/>
    <mergeCell ref="A176:B176"/>
    <mergeCell ref="A177:A188"/>
    <mergeCell ref="H177:H189"/>
    <mergeCell ref="A189:B189"/>
    <mergeCell ref="Q112:Q124"/>
    <mergeCell ref="A138:A149"/>
    <mergeCell ref="H138:H150"/>
    <mergeCell ref="A150:B150"/>
    <mergeCell ref="A151:A162"/>
    <mergeCell ref="H151:H163"/>
    <mergeCell ref="A163:B163"/>
    <mergeCell ref="A125:A136"/>
    <mergeCell ref="H125:H137"/>
    <mergeCell ref="A99:A110"/>
    <mergeCell ref="H99:H111"/>
    <mergeCell ref="A112:A123"/>
    <mergeCell ref="H112:H124"/>
    <mergeCell ref="A21:A32"/>
    <mergeCell ref="H21:H33"/>
    <mergeCell ref="A34:A45"/>
    <mergeCell ref="H34:H46"/>
    <mergeCell ref="A47:A58"/>
    <mergeCell ref="H47:H59"/>
    <mergeCell ref="A60:A71"/>
    <mergeCell ref="H60:H72"/>
    <mergeCell ref="A73:A84"/>
    <mergeCell ref="H73:H85"/>
    <mergeCell ref="A86:A97"/>
    <mergeCell ref="H86:H98"/>
    <mergeCell ref="A8:A19"/>
    <mergeCell ref="W12:AB12"/>
    <mergeCell ref="W19:AB19"/>
    <mergeCell ref="A1:M1"/>
    <mergeCell ref="A2:B4"/>
    <mergeCell ref="C2:M2"/>
    <mergeCell ref="G3:G5"/>
    <mergeCell ref="H3:M3"/>
    <mergeCell ref="I5:K5"/>
    <mergeCell ref="L5:M5"/>
    <mergeCell ref="W5:AB5"/>
    <mergeCell ref="A6:B6"/>
    <mergeCell ref="I6:K6"/>
    <mergeCell ref="L6:M6"/>
    <mergeCell ref="C7:E7"/>
  </mergeCells>
  <hyperlinks>
    <hyperlink ref="W34" r:id="rId1" xr:uid="{7CB3CBDC-E86F-4046-B47C-2CE70A62B08A}"/>
  </hyperlinks>
  <pageMargins left="0.7" right="0.7" top="0.75" bottom="0.75" header="0.3" footer="0.3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DB392-BDE6-42AC-91FD-553DA0D6A4E0}">
  <sheetPr>
    <tabColor theme="4" tint="0.79998168889431442"/>
  </sheetPr>
  <dimension ref="A1:KN257"/>
  <sheetViews>
    <sheetView showGridLines="0" topLeftCell="A215" zoomScale="90" zoomScaleNormal="90" workbookViewId="0">
      <selection activeCell="M260" sqref="M260"/>
    </sheetView>
    <sheetView showGridLines="0" workbookViewId="1"/>
  </sheetViews>
  <sheetFormatPr defaultColWidth="9.1328125" defaultRowHeight="13" outlineLevelCol="1" x14ac:dyDescent="0.6"/>
  <cols>
    <col min="7" max="7" width="11" bestFit="1" customWidth="1"/>
    <col min="11" max="13" width="9.1328125" bestFit="1" customWidth="1"/>
    <col min="14" max="16" width="10.26953125" bestFit="1" customWidth="1"/>
    <col min="17" max="17" width="11.7265625" customWidth="1"/>
    <col min="18" max="18" width="10.1328125" bestFit="1" customWidth="1"/>
    <col min="19" max="19" width="12.54296875" customWidth="1"/>
    <col min="20" max="20" width="13" customWidth="1"/>
    <col min="21" max="21" width="10.1328125" bestFit="1" customWidth="1"/>
    <col min="22" max="22" width="12.54296875" bestFit="1" customWidth="1"/>
    <col min="23" max="23" width="9.1328125" bestFit="1" customWidth="1"/>
    <col min="24" max="24" width="11.1328125" bestFit="1" customWidth="1"/>
    <col min="25" max="31" width="9.1328125" customWidth="1"/>
    <col min="33" max="33" width="10.40625" customWidth="1"/>
    <col min="34" max="34" width="9.1328125" bestFit="1" customWidth="1"/>
    <col min="35" max="35" width="13.7265625" bestFit="1" customWidth="1"/>
    <col min="36" max="37" width="9.1328125" bestFit="1" customWidth="1"/>
    <col min="38" max="38" width="13.86328125" customWidth="1"/>
    <col min="39" max="64" width="9.1328125" customWidth="1" outlineLevel="1"/>
    <col min="65" max="65" width="10.26953125" customWidth="1" outlineLevel="1"/>
    <col min="66" max="69" width="9.1328125" customWidth="1" outlineLevel="1"/>
    <col min="70" max="70" width="9.1328125" customWidth="1"/>
    <col min="71" max="71" width="9.1328125" bestFit="1" customWidth="1"/>
    <col min="72" max="75" width="9.7265625" customWidth="1"/>
    <col min="76" max="77" width="9.1328125" bestFit="1" customWidth="1"/>
    <col min="78" max="79" width="12" bestFit="1" customWidth="1"/>
    <col min="80" max="85" width="9.1328125" bestFit="1" customWidth="1"/>
    <col min="86" max="86" width="15.86328125" customWidth="1" outlineLevel="1"/>
    <col min="87" max="106" width="9.1328125" customWidth="1" outlineLevel="1"/>
    <col min="107" max="107" width="11.40625" customWidth="1" outlineLevel="1"/>
    <col min="108" max="109" width="9.1328125" customWidth="1" outlineLevel="1"/>
    <col min="110" max="110" width="11.40625" style="419" customWidth="1" outlineLevel="1"/>
    <col min="111" max="111" width="9.1328125" customWidth="1" outlineLevel="1"/>
    <col min="112" max="112" width="13" customWidth="1" outlineLevel="1"/>
    <col min="113" max="113" width="9.1328125" style="419" customWidth="1" outlineLevel="1"/>
    <col min="114" max="114" width="9.1328125" customWidth="1" outlineLevel="1"/>
    <col min="115" max="121" width="9.1328125" style="419" customWidth="1" outlineLevel="1"/>
    <col min="122" max="122" width="12" bestFit="1" customWidth="1"/>
    <col min="129" max="129" width="15.86328125" customWidth="1" outlineLevel="1"/>
    <col min="130" max="149" width="9.1328125" customWidth="1" outlineLevel="1"/>
    <col min="150" max="150" width="10.1328125" customWidth="1" outlineLevel="1"/>
    <col min="151" max="152" width="9.1328125" customWidth="1" outlineLevel="1"/>
    <col min="153" max="153" width="10.86328125" style="419" customWidth="1" outlineLevel="1"/>
    <col min="154" max="155" width="9.1328125" customWidth="1" outlineLevel="1"/>
    <col min="156" max="156" width="9.1328125" style="419" customWidth="1" outlineLevel="1"/>
    <col min="157" max="157" width="9.1328125" customWidth="1" outlineLevel="1"/>
    <col min="158" max="158" width="9.1328125" style="419" customWidth="1" outlineLevel="1"/>
    <col min="160" max="160" width="14.40625" customWidth="1"/>
    <col min="166" max="166" width="21" customWidth="1" outlineLevel="1"/>
    <col min="167" max="170" width="9.1328125" customWidth="1" outlineLevel="1"/>
    <col min="171" max="171" width="11.7265625" customWidth="1" outlineLevel="1"/>
    <col min="172" max="172" width="15.86328125" customWidth="1" outlineLevel="1"/>
    <col min="173" max="195" width="9.1328125" customWidth="1" outlineLevel="1"/>
    <col min="196" max="196" width="10.86328125" style="419" customWidth="1" outlineLevel="1"/>
    <col min="197" max="198" width="9.1328125" customWidth="1" outlineLevel="1"/>
    <col min="199" max="199" width="9.1328125" style="419" customWidth="1" outlineLevel="1"/>
    <col min="200" max="200" width="9.1328125" customWidth="1" outlineLevel="1"/>
    <col min="201" max="201" width="9.1328125" style="419" customWidth="1" outlineLevel="1"/>
    <col min="203" max="203" width="14.40625" customWidth="1"/>
    <col min="208" max="208" width="13" customWidth="1" outlineLevel="1"/>
    <col min="209" max="209" width="13.26953125" customWidth="1" outlineLevel="1"/>
    <col min="210" max="210" width="12" customWidth="1" outlineLevel="1"/>
    <col min="211" max="211" width="11.7265625" customWidth="1" outlineLevel="1"/>
    <col min="212" max="212" width="12.1328125" customWidth="1" outlineLevel="1"/>
    <col min="213" max="213" width="14.26953125" customWidth="1" outlineLevel="1"/>
    <col min="214" max="214" width="9.1328125" customWidth="1" outlineLevel="1"/>
    <col min="215" max="215" width="11.1328125" customWidth="1" outlineLevel="1"/>
    <col min="216" max="243" width="9.1328125" customWidth="1" outlineLevel="1"/>
    <col min="250" max="285" width="9.1328125" customWidth="1" outlineLevel="1"/>
  </cols>
  <sheetData>
    <row r="1" spans="1:300" ht="14.25" x14ac:dyDescent="0.65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300" ht="14.25" x14ac:dyDescent="0.65">
      <c r="A2" s="375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300" ht="14.25" x14ac:dyDescent="0.65">
      <c r="A3" s="375"/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</row>
    <row r="4" spans="1:300" ht="17.5" thickBot="1" x14ac:dyDescent="0.9">
      <c r="A4" s="1195" t="s">
        <v>246</v>
      </c>
      <c r="B4" s="1195"/>
      <c r="C4" s="1195"/>
      <c r="D4" s="1195"/>
      <c r="E4" s="1195"/>
      <c r="F4" s="1195"/>
      <c r="G4" s="1195"/>
      <c r="H4" s="1195"/>
      <c r="I4" s="1195"/>
      <c r="J4" s="1195"/>
      <c r="K4" s="1195"/>
      <c r="L4" s="1195"/>
      <c r="M4" s="1195"/>
    </row>
    <row r="5" spans="1:300" ht="25.25" x14ac:dyDescent="1.05">
      <c r="A5" s="1196"/>
      <c r="B5" s="1197"/>
      <c r="C5" s="1202" t="s">
        <v>247</v>
      </c>
      <c r="D5" s="1203"/>
      <c r="E5" s="1203"/>
      <c r="F5" s="1203"/>
      <c r="G5" s="1203"/>
      <c r="H5" s="1203"/>
      <c r="I5" s="1203"/>
      <c r="J5" s="1203"/>
      <c r="K5" s="1203"/>
      <c r="L5" s="1203"/>
      <c r="M5" s="1204"/>
    </row>
    <row r="6" spans="1:300" ht="124.5" customHeight="1" thickBot="1" x14ac:dyDescent="1.2">
      <c r="A6" s="1198"/>
      <c r="B6" s="1199"/>
      <c r="C6" s="862" t="s">
        <v>248</v>
      </c>
      <c r="D6" s="863" t="s">
        <v>249</v>
      </c>
      <c r="E6" s="864" t="s">
        <v>250</v>
      </c>
      <c r="F6" s="310" t="s">
        <v>251</v>
      </c>
      <c r="G6" s="1205" t="s">
        <v>252</v>
      </c>
      <c r="H6" s="1208" t="s">
        <v>253</v>
      </c>
      <c r="I6" s="1209"/>
      <c r="J6" s="1209"/>
      <c r="K6" s="1209"/>
      <c r="L6" s="1209"/>
      <c r="M6" s="1210"/>
    </row>
    <row r="7" spans="1:300" ht="29.5" x14ac:dyDescent="1.05">
      <c r="A7" s="1200"/>
      <c r="B7" s="1201"/>
      <c r="C7" s="311"/>
      <c r="D7" s="312"/>
      <c r="E7" s="313"/>
      <c r="F7" s="315" t="s">
        <v>254</v>
      </c>
      <c r="G7" s="1206"/>
      <c r="H7" s="317"/>
      <c r="I7" s="318"/>
      <c r="J7" s="318"/>
      <c r="K7" s="318"/>
      <c r="L7" s="318"/>
      <c r="M7" s="496"/>
      <c r="AG7" s="799">
        <v>2023</v>
      </c>
      <c r="AH7" s="800" t="s">
        <v>255</v>
      </c>
      <c r="AI7" s="800" t="s">
        <v>256</v>
      </c>
      <c r="AJ7" s="800" t="s">
        <v>257</v>
      </c>
      <c r="AK7" s="800" t="s">
        <v>258</v>
      </c>
      <c r="AL7" s="801" t="s">
        <v>259</v>
      </c>
      <c r="BK7" s="419"/>
      <c r="BM7" s="419"/>
      <c r="BN7" s="419"/>
      <c r="BP7" s="419"/>
      <c r="BQ7" s="419"/>
      <c r="BR7" s="419"/>
      <c r="BS7" s="654">
        <v>2023</v>
      </c>
      <c r="BZ7" s="419"/>
      <c r="CB7" s="799">
        <v>2022</v>
      </c>
      <c r="CC7" s="800" t="s">
        <v>255</v>
      </c>
      <c r="CD7" s="800" t="s">
        <v>256</v>
      </c>
      <c r="CE7" s="800" t="s">
        <v>257</v>
      </c>
      <c r="CF7" s="800" t="s">
        <v>258</v>
      </c>
      <c r="CG7" s="801" t="s">
        <v>259</v>
      </c>
      <c r="DH7" s="419"/>
      <c r="DM7" s="654">
        <v>2022</v>
      </c>
      <c r="DN7"/>
      <c r="DO7"/>
      <c r="DP7"/>
      <c r="DS7" s="738">
        <v>2021</v>
      </c>
      <c r="DT7" s="738" t="s">
        <v>255</v>
      </c>
      <c r="DU7" s="738" t="s">
        <v>256</v>
      </c>
      <c r="DV7" s="738" t="s">
        <v>257</v>
      </c>
      <c r="DW7" s="738" t="s">
        <v>258</v>
      </c>
      <c r="DX7" s="738" t="s">
        <v>259</v>
      </c>
      <c r="FD7" s="654">
        <v>2021</v>
      </c>
      <c r="FJ7" s="632">
        <v>2020</v>
      </c>
      <c r="FK7" s="633" t="s">
        <v>255</v>
      </c>
      <c r="FL7" s="633" t="s">
        <v>256</v>
      </c>
      <c r="FM7" s="633" t="s">
        <v>257</v>
      </c>
      <c r="FN7" s="633" t="s">
        <v>258</v>
      </c>
      <c r="FO7" s="634" t="s">
        <v>259</v>
      </c>
      <c r="GU7" s="654">
        <v>2020</v>
      </c>
      <c r="GZ7" s="105">
        <v>2019</v>
      </c>
      <c r="HA7" s="106" t="s">
        <v>255</v>
      </c>
      <c r="HB7" s="106" t="s">
        <v>256</v>
      </c>
      <c r="HC7" s="106" t="s">
        <v>257</v>
      </c>
      <c r="HD7" s="106" t="s">
        <v>258</v>
      </c>
      <c r="HE7" s="107" t="s">
        <v>259</v>
      </c>
      <c r="IK7" s="654">
        <v>2019</v>
      </c>
      <c r="IP7" s="632">
        <v>2018</v>
      </c>
      <c r="IQ7" s="633" t="s">
        <v>255</v>
      </c>
      <c r="IR7" s="633" t="s">
        <v>256</v>
      </c>
      <c r="IS7" s="633" t="s">
        <v>257</v>
      </c>
      <c r="IT7" s="633" t="s">
        <v>258</v>
      </c>
      <c r="IU7" s="634" t="s">
        <v>259</v>
      </c>
      <c r="KA7" s="654">
        <v>2018</v>
      </c>
      <c r="KF7" s="654">
        <v>2017</v>
      </c>
      <c r="KK7" s="654">
        <v>2016</v>
      </c>
    </row>
    <row r="8" spans="1:300" ht="15" thickBot="1" x14ac:dyDescent="0.8">
      <c r="A8" s="865" t="s">
        <v>261</v>
      </c>
      <c r="B8" s="866"/>
      <c r="C8" s="320">
        <v>1.01</v>
      </c>
      <c r="D8" s="321">
        <v>1.66</v>
      </c>
      <c r="E8" s="322">
        <v>0.6</v>
      </c>
      <c r="F8" s="323">
        <v>3.27</v>
      </c>
      <c r="G8" s="1207"/>
      <c r="H8" s="324"/>
      <c r="I8" s="1211" t="s">
        <v>262</v>
      </c>
      <c r="J8" s="1212"/>
      <c r="K8" s="1212"/>
      <c r="L8" s="1213" t="s">
        <v>263</v>
      </c>
      <c r="M8" s="1214"/>
      <c r="AG8" s="1217" t="s">
        <v>264</v>
      </c>
      <c r="AH8" s="1218"/>
      <c r="AI8" s="1218"/>
      <c r="AJ8" s="1218"/>
      <c r="AK8" s="1218"/>
      <c r="AL8" s="1219"/>
      <c r="BE8" s="25" t="s">
        <v>265</v>
      </c>
      <c r="BI8">
        <v>28</v>
      </c>
      <c r="BJ8">
        <v>265</v>
      </c>
      <c r="BK8" s="419"/>
      <c r="BN8" s="419"/>
      <c r="BO8" t="s">
        <v>1022</v>
      </c>
      <c r="BP8" s="205"/>
      <c r="BQ8" s="419"/>
      <c r="BR8" s="419"/>
      <c r="BZ8" s="419"/>
      <c r="CB8" s="1217" t="s">
        <v>264</v>
      </c>
      <c r="CC8" s="1218"/>
      <c r="CD8" s="1218"/>
      <c r="CE8" s="1218"/>
      <c r="CF8" s="1218"/>
      <c r="CG8" s="1219"/>
      <c r="CM8" s="147"/>
      <c r="CZ8" t="s">
        <v>265</v>
      </c>
      <c r="DD8">
        <v>28</v>
      </c>
      <c r="DE8">
        <v>265</v>
      </c>
      <c r="DJ8" t="s">
        <v>382</v>
      </c>
      <c r="DM8"/>
      <c r="DN8"/>
      <c r="DO8"/>
      <c r="DP8"/>
      <c r="DS8" s="1166" t="s">
        <v>264</v>
      </c>
      <c r="DT8" s="1166"/>
      <c r="DU8" s="1166"/>
      <c r="DV8" s="1166"/>
      <c r="DW8" s="1166"/>
      <c r="DX8" s="1166"/>
      <c r="ED8" s="147"/>
      <c r="EQ8" t="s">
        <v>265</v>
      </c>
      <c r="EU8">
        <v>28</v>
      </c>
      <c r="EV8">
        <v>265</v>
      </c>
      <c r="FA8" t="s">
        <v>382</v>
      </c>
      <c r="FJ8" s="645" t="s">
        <v>264</v>
      </c>
      <c r="FK8" s="646"/>
      <c r="FL8" s="646"/>
      <c r="FM8" s="646"/>
      <c r="FN8" s="646"/>
      <c r="FO8" s="647"/>
      <c r="FU8" s="147"/>
      <c r="GH8" t="s">
        <v>265</v>
      </c>
      <c r="GL8">
        <v>28</v>
      </c>
      <c r="GM8">
        <v>265</v>
      </c>
      <c r="GR8" t="s">
        <v>382</v>
      </c>
      <c r="GZ8" s="1109" t="s">
        <v>264</v>
      </c>
      <c r="HA8" s="1110"/>
      <c r="HB8" s="1110"/>
      <c r="HC8" s="1110"/>
      <c r="HD8" s="1110"/>
      <c r="HE8" s="1111"/>
      <c r="HK8" s="147"/>
      <c r="HX8" t="s">
        <v>265</v>
      </c>
      <c r="IB8">
        <v>29.8</v>
      </c>
      <c r="IC8">
        <v>273</v>
      </c>
      <c r="ID8" s="419"/>
      <c r="IG8" s="419"/>
      <c r="IH8" t="s">
        <v>382</v>
      </c>
      <c r="II8" s="419"/>
      <c r="IP8" s="1186" t="s">
        <v>264</v>
      </c>
      <c r="IQ8" s="1187"/>
      <c r="IR8" s="1187"/>
      <c r="IS8" s="1187"/>
      <c r="IT8" s="1187"/>
      <c r="IU8" s="1188"/>
      <c r="JA8" s="147"/>
      <c r="JN8" t="s">
        <v>265</v>
      </c>
      <c r="JR8">
        <v>29.8</v>
      </c>
      <c r="JS8">
        <v>273</v>
      </c>
      <c r="JT8" s="419"/>
      <c r="JW8" s="419"/>
      <c r="JX8" t="s">
        <v>382</v>
      </c>
      <c r="JY8" s="419"/>
    </row>
    <row r="9" spans="1:300" ht="39" customHeight="1" thickBot="1" x14ac:dyDescent="0.8">
      <c r="A9" s="1178" t="s">
        <v>266</v>
      </c>
      <c r="B9" s="1179"/>
      <c r="C9" s="869" t="s">
        <v>267</v>
      </c>
      <c r="D9" s="870" t="s">
        <v>268</v>
      </c>
      <c r="E9" s="871" t="s">
        <v>269</v>
      </c>
      <c r="F9" s="379"/>
      <c r="G9" s="326" t="s">
        <v>270</v>
      </c>
      <c r="H9" s="327"/>
      <c r="I9" s="1180" t="s">
        <v>271</v>
      </c>
      <c r="J9" s="1181"/>
      <c r="K9" s="1181"/>
      <c r="L9" s="1182" t="s">
        <v>272</v>
      </c>
      <c r="M9" s="1183"/>
      <c r="AG9" s="795" t="s">
        <v>223</v>
      </c>
      <c r="AH9" s="793">
        <v>140832</v>
      </c>
      <c r="AI9" s="793">
        <v>83100</v>
      </c>
      <c r="AJ9" s="794">
        <v>0.59</v>
      </c>
      <c r="AK9" s="795">
        <v>31.55</v>
      </c>
      <c r="AL9" s="802">
        <v>11516</v>
      </c>
      <c r="AN9" s="121">
        <f>AH9/AH31</f>
        <v>0.47060081534451648</v>
      </c>
      <c r="AO9" s="121">
        <f>AI9/AI31</f>
        <v>0.52292763965188505</v>
      </c>
      <c r="AP9">
        <f>AH9*AL9/1000000</f>
        <v>1621.821312</v>
      </c>
      <c r="AR9" s="121">
        <f>AP9/$AP$37</f>
        <v>0.3263560706769249</v>
      </c>
      <c r="AX9" t="s">
        <v>275</v>
      </c>
      <c r="AY9" t="s">
        <v>276</v>
      </c>
      <c r="AZ9" t="s">
        <v>277</v>
      </c>
      <c r="BA9" t="s">
        <v>278</v>
      </c>
      <c r="BB9" t="s">
        <v>279</v>
      </c>
      <c r="BC9" t="s">
        <v>280</v>
      </c>
      <c r="BD9" t="s">
        <v>281</v>
      </c>
      <c r="BE9" t="s">
        <v>282</v>
      </c>
      <c r="BF9" t="s">
        <v>283</v>
      </c>
      <c r="BG9" t="s">
        <v>199</v>
      </c>
      <c r="BH9" t="s">
        <v>281</v>
      </c>
      <c r="BI9" t="s">
        <v>282</v>
      </c>
      <c r="BJ9" t="s">
        <v>283</v>
      </c>
      <c r="BK9" s="419"/>
      <c r="BL9" t="s">
        <v>284</v>
      </c>
      <c r="BM9" t="s">
        <v>285</v>
      </c>
      <c r="BN9" s="419" t="s">
        <v>286</v>
      </c>
      <c r="BO9" t="s">
        <v>383</v>
      </c>
      <c r="BP9" s="419" t="s">
        <v>384</v>
      </c>
      <c r="BQ9" s="419"/>
      <c r="BR9" s="419"/>
      <c r="BS9" s="419" t="s">
        <v>385</v>
      </c>
      <c r="BT9" s="31">
        <f>IF($O$15=2012,VLOOKUP(BS7,$O$18:$R$29,4),VLOOKUP(BS7,$O$18:$X$29,10))</f>
        <v>1411.4549925802976</v>
      </c>
      <c r="BU9" s="25" t="s">
        <v>135</v>
      </c>
      <c r="BW9" s="31"/>
      <c r="BZ9" s="419"/>
      <c r="CB9" s="795" t="s">
        <v>223</v>
      </c>
      <c r="CC9" s="793">
        <v>145524</v>
      </c>
      <c r="CD9" s="793">
        <v>81692</v>
      </c>
      <c r="CE9" s="794">
        <v>0.56000000000000005</v>
      </c>
      <c r="CF9" s="795">
        <v>33.11</v>
      </c>
      <c r="CG9" s="802">
        <v>12087</v>
      </c>
      <c r="CI9" s="121">
        <f t="shared" ref="CI9:CJ14" si="0">CC9/CC30</f>
        <v>0.50608242044861762</v>
      </c>
      <c r="CJ9" s="121">
        <f t="shared" si="0"/>
        <v>0.55218563906369345</v>
      </c>
      <c r="CL9" s="31">
        <f>CG9*CC9/1000000</f>
        <v>1758.948588</v>
      </c>
      <c r="CM9" s="121">
        <f t="shared" ref="CM9:CM35" si="1">CL9/$CL$36</f>
        <v>0.35799060912019864</v>
      </c>
      <c r="CS9" t="s">
        <v>275</v>
      </c>
      <c r="CT9" t="s">
        <v>276</v>
      </c>
      <c r="CU9" t="s">
        <v>277</v>
      </c>
      <c r="CV9" t="s">
        <v>278</v>
      </c>
      <c r="CW9" t="s">
        <v>279</v>
      </c>
      <c r="CX9" t="s">
        <v>280</v>
      </c>
      <c r="CY9" t="s">
        <v>281</v>
      </c>
      <c r="CZ9" t="s">
        <v>282</v>
      </c>
      <c r="DA9" t="s">
        <v>283</v>
      </c>
      <c r="DB9" t="s">
        <v>199</v>
      </c>
      <c r="DC9" t="s">
        <v>281</v>
      </c>
      <c r="DD9" t="s">
        <v>282</v>
      </c>
      <c r="DE9" t="s">
        <v>283</v>
      </c>
      <c r="DG9" t="s">
        <v>284</v>
      </c>
      <c r="DH9" t="s">
        <v>285</v>
      </c>
      <c r="DI9" s="419" t="s">
        <v>286</v>
      </c>
      <c r="DJ9" t="s">
        <v>383</v>
      </c>
      <c r="DK9" s="419" t="s">
        <v>384</v>
      </c>
      <c r="DM9" s="419" t="s">
        <v>385</v>
      </c>
      <c r="DN9" s="31">
        <f>IF($O$15=2012,VLOOKUP(DM7,$O$18:$R$28,4),VLOOKUP(DM7,$O$18:$X$28,10))</f>
        <v>1349.3833581073591</v>
      </c>
      <c r="DO9" s="25" t="s">
        <v>135</v>
      </c>
      <c r="DP9"/>
      <c r="DS9" s="732" t="s">
        <v>223</v>
      </c>
      <c r="DT9" s="733">
        <v>149903</v>
      </c>
      <c r="DU9" s="733">
        <v>82425</v>
      </c>
      <c r="DV9" s="734">
        <v>0.55000000000000004</v>
      </c>
      <c r="DW9" s="732">
        <v>30.19</v>
      </c>
      <c r="DX9" s="733">
        <v>11020</v>
      </c>
      <c r="DZ9" s="121">
        <f t="shared" ref="DZ9:EA14" si="2">DT9/DT30</f>
        <v>0.54458891444058144</v>
      </c>
      <c r="EA9" s="121">
        <f t="shared" si="2"/>
        <v>0.57982483908409832</v>
      </c>
      <c r="EC9" s="31">
        <f>DX9*DT9/1000000</f>
        <v>1651.9310599999999</v>
      </c>
      <c r="ED9" s="121">
        <f t="shared" ref="ED9:ED35" si="3">EC9/$FT$36</f>
        <v>0.39640245859007239</v>
      </c>
      <c r="EJ9" t="s">
        <v>275</v>
      </c>
      <c r="EK9" t="s">
        <v>276</v>
      </c>
      <c r="EL9" t="s">
        <v>277</v>
      </c>
      <c r="EM9" t="s">
        <v>278</v>
      </c>
      <c r="EN9" t="s">
        <v>279</v>
      </c>
      <c r="EO9" t="s">
        <v>280</v>
      </c>
      <c r="EP9" t="s">
        <v>281</v>
      </c>
      <c r="EQ9" t="s">
        <v>282</v>
      </c>
      <c r="ER9" t="s">
        <v>283</v>
      </c>
      <c r="ES9" t="s">
        <v>199</v>
      </c>
      <c r="ET9" t="s">
        <v>281</v>
      </c>
      <c r="EU9" t="s">
        <v>282</v>
      </c>
      <c r="EV9" t="s">
        <v>283</v>
      </c>
      <c r="EX9" t="s">
        <v>284</v>
      </c>
      <c r="EY9" t="s">
        <v>285</v>
      </c>
      <c r="EZ9" s="419" t="s">
        <v>286</v>
      </c>
      <c r="FA9" t="s">
        <v>383</v>
      </c>
      <c r="FB9" s="419" t="s">
        <v>384</v>
      </c>
      <c r="FD9" s="419" t="s">
        <v>385</v>
      </c>
      <c r="FE9" s="31">
        <f>IF($O$15=2012,VLOOKUP(FD7,$O$18:$R$29,4),VLOOKUP(FD7,$O$18:$AB$29,14))</f>
        <v>1090.7107909782221</v>
      </c>
      <c r="FF9" s="25" t="s">
        <v>135</v>
      </c>
      <c r="FJ9" s="635" t="s">
        <v>223</v>
      </c>
      <c r="FK9" s="626">
        <v>156335</v>
      </c>
      <c r="FL9" s="626">
        <v>82309</v>
      </c>
      <c r="FM9" s="627">
        <v>0.53</v>
      </c>
      <c r="FN9" s="628">
        <v>30.22</v>
      </c>
      <c r="FO9" s="636">
        <v>11029</v>
      </c>
      <c r="FQ9" s="121">
        <f t="shared" ref="FQ9:FR14" si="4">FK9/FK30</f>
        <v>0.57984533501474322</v>
      </c>
      <c r="FR9" s="121">
        <f t="shared" si="4"/>
        <v>0.62281226117420951</v>
      </c>
      <c r="FT9" s="31">
        <f>FO9*FK9/1000000</f>
        <v>1724.218715</v>
      </c>
      <c r="FU9" s="121">
        <f t="shared" ref="FU9:FU35" si="5">FT9/$FT$36</f>
        <v>0.41374882664474832</v>
      </c>
      <c r="GA9" t="s">
        <v>275</v>
      </c>
      <c r="GB9" t="s">
        <v>276</v>
      </c>
      <c r="GC9" t="s">
        <v>277</v>
      </c>
      <c r="GD9" t="s">
        <v>278</v>
      </c>
      <c r="GE9" t="s">
        <v>279</v>
      </c>
      <c r="GF9" t="s">
        <v>280</v>
      </c>
      <c r="GG9" t="s">
        <v>281</v>
      </c>
      <c r="GH9" t="s">
        <v>282</v>
      </c>
      <c r="GI9" t="s">
        <v>283</v>
      </c>
      <c r="GJ9" t="s">
        <v>199</v>
      </c>
      <c r="GK9" t="s">
        <v>281</v>
      </c>
      <c r="GL9" t="s">
        <v>282</v>
      </c>
      <c r="GM9" t="s">
        <v>283</v>
      </c>
      <c r="GO9" t="s">
        <v>284</v>
      </c>
      <c r="GP9" t="s">
        <v>285</v>
      </c>
      <c r="GQ9" s="419" t="s">
        <v>286</v>
      </c>
      <c r="GR9" t="s">
        <v>383</v>
      </c>
      <c r="GS9" s="419" t="s">
        <v>384</v>
      </c>
      <c r="GU9" s="419" t="s">
        <v>385</v>
      </c>
      <c r="GV9" s="31">
        <f>IF($O$15=2012,VLOOKUP(GU7,$O$18:$R$29,4),VLOOKUP(GU7,$O$18:$AB$29,14))</f>
        <v>997.30425267765895</v>
      </c>
      <c r="GW9" s="25" t="s">
        <v>135</v>
      </c>
      <c r="GZ9" s="116" t="s">
        <v>223</v>
      </c>
      <c r="HA9" s="117">
        <v>163424</v>
      </c>
      <c r="HB9" s="117">
        <v>84654</v>
      </c>
      <c r="HC9" s="118">
        <v>0.52</v>
      </c>
      <c r="HD9" s="119">
        <v>30.85</v>
      </c>
      <c r="HE9" s="120">
        <v>11261</v>
      </c>
      <c r="HG9" s="121">
        <f>HA9/HA23</f>
        <v>0.60566663578245161</v>
      </c>
      <c r="HH9" s="121">
        <f>HB9/HB23</f>
        <v>0.67010211351222992</v>
      </c>
      <c r="HJ9" s="31">
        <f t="shared" ref="HJ9:HJ22" si="6">HE9*HA9/1000000</f>
        <v>1840.3176639999999</v>
      </c>
      <c r="HK9" s="121">
        <f t="shared" ref="HK9:HK34" si="7">HJ9/$HJ$36</f>
        <v>0.43324749774321492</v>
      </c>
      <c r="HQ9" t="s">
        <v>275</v>
      </c>
      <c r="HR9" t="s">
        <v>276</v>
      </c>
      <c r="HS9" t="s">
        <v>277</v>
      </c>
      <c r="HT9" t="s">
        <v>278</v>
      </c>
      <c r="HU9" t="s">
        <v>279</v>
      </c>
      <c r="HV9" t="s">
        <v>280</v>
      </c>
      <c r="HW9" t="s">
        <v>281</v>
      </c>
      <c r="HX9" t="s">
        <v>282</v>
      </c>
      <c r="HY9" t="s">
        <v>283</v>
      </c>
      <c r="HZ9" t="s">
        <v>199</v>
      </c>
      <c r="IA9" t="s">
        <v>281</v>
      </c>
      <c r="IB9" t="s">
        <v>282</v>
      </c>
      <c r="IC9" t="s">
        <v>283</v>
      </c>
      <c r="ID9" s="419"/>
      <c r="IE9" t="s">
        <v>284</v>
      </c>
      <c r="IF9" t="s">
        <v>285</v>
      </c>
      <c r="IG9" s="419" t="s">
        <v>286</v>
      </c>
      <c r="IH9" t="s">
        <v>383</v>
      </c>
      <c r="II9" s="419" t="s">
        <v>384</v>
      </c>
      <c r="IK9" s="419" t="s">
        <v>385</v>
      </c>
      <c r="IL9" s="93">
        <f>IF($O$15=2012,VLOOKUP(IK7,$O$18:$R$29,4),VLOOKUP(IK7,$O$18:$AB$29,14))</f>
        <v>1110.6731317499998</v>
      </c>
      <c r="IM9" s="25" t="s">
        <v>135</v>
      </c>
      <c r="IP9" s="635" t="s">
        <v>223</v>
      </c>
      <c r="IQ9" s="626">
        <v>167978</v>
      </c>
      <c r="IR9" s="626">
        <v>97278</v>
      </c>
      <c r="IS9" s="627">
        <v>0.54</v>
      </c>
      <c r="IT9" s="628">
        <v>31.07</v>
      </c>
      <c r="IU9" s="636">
        <v>11339</v>
      </c>
      <c r="IW9" s="121">
        <f>IQ9/IQ23</f>
        <v>0.62822991738442613</v>
      </c>
      <c r="IX9" s="121">
        <f>IR9/IR23</f>
        <v>0.74363600226275473</v>
      </c>
      <c r="IZ9" s="31">
        <f t="shared" ref="IZ9:IZ22" si="8">IU9*IQ9/1000000</f>
        <v>1904.702542</v>
      </c>
      <c r="JA9" s="121">
        <f t="shared" ref="JA9:JA34" si="9">IZ9/$HJ$36</f>
        <v>0.44840498268816309</v>
      </c>
      <c r="JG9" t="s">
        <v>275</v>
      </c>
      <c r="JH9" t="s">
        <v>276</v>
      </c>
      <c r="JI9" t="s">
        <v>277</v>
      </c>
      <c r="JJ9" t="s">
        <v>278</v>
      </c>
      <c r="JK9" t="s">
        <v>279</v>
      </c>
      <c r="JL9" t="s">
        <v>280</v>
      </c>
      <c r="JM9" t="s">
        <v>281</v>
      </c>
      <c r="JN9" t="s">
        <v>282</v>
      </c>
      <c r="JO9" t="s">
        <v>283</v>
      </c>
      <c r="JP9" t="s">
        <v>199</v>
      </c>
      <c r="JQ9" t="s">
        <v>281</v>
      </c>
      <c r="JR9" t="s">
        <v>282</v>
      </c>
      <c r="JS9" t="s">
        <v>283</v>
      </c>
      <c r="JT9" s="419"/>
      <c r="JU9" t="s">
        <v>284</v>
      </c>
      <c r="JV9" t="s">
        <v>285</v>
      </c>
      <c r="JW9" s="419" t="s">
        <v>286</v>
      </c>
      <c r="JX9" t="s">
        <v>383</v>
      </c>
      <c r="JY9" s="419" t="s">
        <v>384</v>
      </c>
      <c r="KA9" s="419" t="s">
        <v>385</v>
      </c>
      <c r="KB9" s="93">
        <f>IF($O$15=2012,VLOOKUP(KA7,$O$18:$R$29,4),VLOOKUP(KA7,$O$18:$AB$29,14))</f>
        <v>1098.4939914592933</v>
      </c>
      <c r="KC9" s="25" t="s">
        <v>135</v>
      </c>
      <c r="KF9" s="419" t="s">
        <v>385</v>
      </c>
      <c r="KG9" s="31">
        <f>KB9/(1+P24)</f>
        <v>1068.5297575278466</v>
      </c>
      <c r="KH9" s="25" t="s">
        <v>135</v>
      </c>
      <c r="KK9" s="419" t="s">
        <v>385</v>
      </c>
      <c r="KL9" s="31">
        <f>KG9/(1+P23)</f>
        <v>989.35440532397377</v>
      </c>
      <c r="KM9" s="25" t="s">
        <v>135</v>
      </c>
    </row>
    <row r="10" spans="1:300" ht="39" customHeight="1" thickBot="1" x14ac:dyDescent="0.8">
      <c r="A10" s="328"/>
      <c r="B10" s="329" t="s">
        <v>287</v>
      </c>
      <c r="C10" s="1184" t="s">
        <v>288</v>
      </c>
      <c r="D10" s="1185"/>
      <c r="E10" s="1185"/>
      <c r="F10" s="873" t="s">
        <v>289</v>
      </c>
      <c r="G10" s="330" t="s">
        <v>290</v>
      </c>
      <c r="H10" s="332"/>
      <c r="I10" s="497" t="s">
        <v>267</v>
      </c>
      <c r="J10" s="498" t="s">
        <v>268</v>
      </c>
      <c r="K10" s="499" t="s">
        <v>269</v>
      </c>
      <c r="L10" s="500" t="s">
        <v>291</v>
      </c>
      <c r="M10" s="501" t="s">
        <v>292</v>
      </c>
      <c r="AG10" s="796" t="s">
        <v>294</v>
      </c>
      <c r="AH10" s="796">
        <v>114</v>
      </c>
      <c r="AI10" s="796">
        <v>63</v>
      </c>
      <c r="AJ10" s="797">
        <v>0.55000000000000004</v>
      </c>
      <c r="AK10" s="796">
        <v>36.65</v>
      </c>
      <c r="AL10" s="803">
        <v>13377</v>
      </c>
      <c r="AN10" s="121">
        <f>AH10/AH32</f>
        <v>8.8923556942277687E-2</v>
      </c>
      <c r="AO10" s="121">
        <f t="shared" ref="AO10:AO14" si="10">AI10/AI32</f>
        <v>8.171206225680934E-2</v>
      </c>
      <c r="AP10">
        <f t="shared" ref="AP10:AP36" si="11">AH10*AL10/1000000</f>
        <v>1.5249779999999999</v>
      </c>
      <c r="AR10" s="121">
        <f t="shared" ref="AR10:AR37" si="12">AP10/$AP$37</f>
        <v>3.0686847204826687E-4</v>
      </c>
      <c r="BK10" s="837"/>
      <c r="BN10" s="419"/>
      <c r="BP10" s="419"/>
      <c r="BQ10" s="419"/>
      <c r="BR10" s="419"/>
      <c r="BZ10" s="419"/>
      <c r="CB10" s="796" t="s">
        <v>294</v>
      </c>
      <c r="CC10" s="796">
        <v>117</v>
      </c>
      <c r="CD10" s="796">
        <v>50</v>
      </c>
      <c r="CE10" s="797">
        <v>0.43</v>
      </c>
      <c r="CF10" s="796">
        <v>12.52</v>
      </c>
      <c r="CG10" s="803">
        <v>4571</v>
      </c>
      <c r="CI10" s="121">
        <f t="shared" si="0"/>
        <v>8.9108910891089105E-2</v>
      </c>
      <c r="CJ10" s="121">
        <f t="shared" si="0"/>
        <v>6.7204301075268813E-2</v>
      </c>
      <c r="CL10" s="31">
        <f>CG10*CC10/1000000</f>
        <v>0.53480700000000003</v>
      </c>
      <c r="CM10" s="121">
        <f t="shared" si="1"/>
        <v>1.08846776419679E-4</v>
      </c>
      <c r="DF10" s="837"/>
      <c r="DM10"/>
      <c r="DN10"/>
      <c r="DO10"/>
      <c r="DP10"/>
      <c r="DS10" s="735" t="s">
        <v>294</v>
      </c>
      <c r="DT10" s="735">
        <v>117</v>
      </c>
      <c r="DU10" s="735">
        <v>50</v>
      </c>
      <c r="DV10" s="736">
        <v>0.43</v>
      </c>
      <c r="DW10" s="735">
        <v>23.12</v>
      </c>
      <c r="DX10" s="737">
        <v>8440</v>
      </c>
      <c r="DZ10" s="121">
        <f t="shared" si="2"/>
        <v>8.6092715231788075E-2</v>
      </c>
      <c r="EA10" s="121">
        <f t="shared" si="2"/>
        <v>7.3855243722304287E-2</v>
      </c>
      <c r="EC10" s="31">
        <f>DX10*DT10/1000000</f>
        <v>0.98748000000000002</v>
      </c>
      <c r="ED10" s="121">
        <f t="shared" si="3"/>
        <v>2.3695873834379304E-4</v>
      </c>
      <c r="FJ10" s="637" t="s">
        <v>294</v>
      </c>
      <c r="FK10" s="629">
        <v>95</v>
      </c>
      <c r="FL10" s="629">
        <v>49</v>
      </c>
      <c r="FM10" s="630">
        <v>0.52</v>
      </c>
      <c r="FN10" s="629">
        <v>17.82</v>
      </c>
      <c r="FO10" s="638">
        <v>6503</v>
      </c>
      <c r="FQ10" s="121">
        <f t="shared" si="4"/>
        <v>7.0058997050147495E-2</v>
      </c>
      <c r="FR10" s="121">
        <f t="shared" si="4"/>
        <v>8.0592105263157895E-2</v>
      </c>
      <c r="FT10" s="31">
        <f>FO10*FK10/1000000</f>
        <v>0.61778500000000003</v>
      </c>
      <c r="FU10" s="121">
        <f t="shared" si="5"/>
        <v>1.4824558894126482E-4</v>
      </c>
      <c r="GZ10" s="133" t="s">
        <v>294</v>
      </c>
      <c r="HA10" s="134">
        <v>95</v>
      </c>
      <c r="HB10" s="134">
        <v>65</v>
      </c>
      <c r="HC10" s="135">
        <v>0.68</v>
      </c>
      <c r="HD10" s="134">
        <v>24.99</v>
      </c>
      <c r="HE10" s="136">
        <v>9123</v>
      </c>
      <c r="HG10" s="121">
        <f t="shared" ref="HG10:HH12" si="13">HA10/HA24</f>
        <v>6.8542568542568544E-2</v>
      </c>
      <c r="HH10" s="121">
        <f t="shared" si="13"/>
        <v>8.5638998682476944E-2</v>
      </c>
      <c r="HJ10" s="31">
        <f t="shared" si="6"/>
        <v>0.86668500000000004</v>
      </c>
      <c r="HK10" s="121">
        <f t="shared" si="7"/>
        <v>2.0403494186185144E-4</v>
      </c>
      <c r="ID10" s="419"/>
      <c r="IG10" s="419"/>
      <c r="II10" s="419"/>
      <c r="IP10" s="637" t="s">
        <v>294</v>
      </c>
      <c r="IQ10" s="629">
        <v>98</v>
      </c>
      <c r="IR10" s="629">
        <v>67</v>
      </c>
      <c r="IS10" s="630">
        <v>0.68</v>
      </c>
      <c r="IT10" s="629">
        <v>19.28</v>
      </c>
      <c r="IU10" s="638">
        <v>7037</v>
      </c>
      <c r="IW10" s="121">
        <f t="shared" ref="IW10:IW12" si="14">IQ10/IQ24</f>
        <v>6.7679558011049717E-2</v>
      </c>
      <c r="IX10" s="121">
        <f t="shared" ref="IX10:IX12" si="15">IR10/IR24</f>
        <v>8.6451612903225811E-2</v>
      </c>
      <c r="IZ10" s="31">
        <f t="shared" si="8"/>
        <v>0.68962599999999996</v>
      </c>
      <c r="JA10" s="121">
        <f t="shared" si="9"/>
        <v>1.6235172042486156E-4</v>
      </c>
      <c r="JT10" s="419"/>
      <c r="JW10" s="419"/>
      <c r="JY10" s="419"/>
    </row>
    <row r="11" spans="1:300" ht="16.5" customHeight="1" thickBot="1" x14ac:dyDescent="0.8">
      <c r="A11" s="1226">
        <v>2005</v>
      </c>
      <c r="B11" s="333" t="s">
        <v>295</v>
      </c>
      <c r="C11" s="334">
        <v>36964</v>
      </c>
      <c r="D11" s="335">
        <v>35212</v>
      </c>
      <c r="E11" s="336">
        <v>32382</v>
      </c>
      <c r="F11" s="337">
        <v>104558</v>
      </c>
      <c r="G11" s="381">
        <v>104558</v>
      </c>
      <c r="H11" s="338"/>
      <c r="I11" s="339"/>
      <c r="J11" s="339"/>
      <c r="K11" s="339"/>
      <c r="L11" s="340"/>
      <c r="M11" s="502"/>
      <c r="AG11" s="795" t="s">
        <v>297</v>
      </c>
      <c r="AH11" s="795">
        <v>6</v>
      </c>
      <c r="AI11" s="795">
        <v>3</v>
      </c>
      <c r="AJ11" s="794">
        <v>0.5</v>
      </c>
      <c r="AK11" s="796" t="s">
        <v>184</v>
      </c>
      <c r="AL11" s="796" t="s">
        <v>184</v>
      </c>
      <c r="AN11" s="121">
        <f t="shared" ref="AN11:AN14" si="16">AH11/AH33</f>
        <v>3.0785017957927143E-3</v>
      </c>
      <c r="AO11" s="121">
        <f t="shared" si="10"/>
        <v>2.5795356835769563E-3</v>
      </c>
      <c r="AP11">
        <v>0</v>
      </c>
      <c r="AR11" s="121">
        <f t="shared" si="12"/>
        <v>0</v>
      </c>
      <c r="AT11" t="s">
        <v>298</v>
      </c>
      <c r="AU11" t="s">
        <v>264</v>
      </c>
      <c r="AV11" s="147">
        <f>AR9</f>
        <v>0.3263560706769249</v>
      </c>
      <c r="AW11" s="31">
        <f>AV11*$BT$9</f>
        <v>460.6369053158341</v>
      </c>
      <c r="AX11">
        <v>8</v>
      </c>
      <c r="AY11">
        <f>AX11/100</f>
        <v>0.08</v>
      </c>
      <c r="AZ11">
        <v>0.75</v>
      </c>
      <c r="BA11">
        <f>AZ11*AY11</f>
        <v>0.06</v>
      </c>
      <c r="BB11">
        <v>44.3</v>
      </c>
      <c r="BC11">
        <f>BB11*BA11</f>
        <v>2.6579999999999999</v>
      </c>
      <c r="BD11">
        <v>72.335002492541093</v>
      </c>
      <c r="BE11">
        <v>7.1637159556547196E-3</v>
      </c>
      <c r="BF11">
        <v>4.7891015874360001E-4</v>
      </c>
      <c r="BG11" s="31">
        <f>BC11*AW11</f>
        <v>1224.3728943294871</v>
      </c>
      <c r="BH11" s="31">
        <f>$BG11*BD11</f>
        <v>88565.016363123199</v>
      </c>
      <c r="BI11" s="31">
        <f>$BG11*BE11</f>
        <v>8.7710596387792972</v>
      </c>
      <c r="BJ11" s="31">
        <f t="shared" ref="BJ11:BJ26" si="17">$BG11*BF11</f>
        <v>0.58636461718469568</v>
      </c>
      <c r="BK11" s="655">
        <f>BH11+BI11*$DD$8+BJ11*$DE$8</f>
        <v>88965.992656562972</v>
      </c>
      <c r="BL11">
        <v>2.34</v>
      </c>
      <c r="BM11">
        <f>BL11*AY11*AW11*1000000</f>
        <v>86231228.675124139</v>
      </c>
      <c r="BN11" s="419">
        <f>BM11/1000</f>
        <v>86231.228675124134</v>
      </c>
      <c r="BO11">
        <v>211</v>
      </c>
      <c r="BP11" s="419">
        <f>BO11/10^6*AW11*10^6</f>
        <v>97194.387021641</v>
      </c>
      <c r="BQ11" s="419"/>
      <c r="BR11" s="419"/>
      <c r="BT11" s="25" t="s">
        <v>388</v>
      </c>
      <c r="BU11" s="25" t="s">
        <v>389</v>
      </c>
      <c r="BV11" s="25" t="s">
        <v>390</v>
      </c>
      <c r="BW11" s="25"/>
      <c r="BZ11" s="419"/>
      <c r="CB11" s="795" t="s">
        <v>297</v>
      </c>
      <c r="CC11" s="795">
        <v>4</v>
      </c>
      <c r="CD11" s="795">
        <v>3</v>
      </c>
      <c r="CE11" s="794">
        <v>0.75</v>
      </c>
      <c r="CF11" s="809">
        <v>18.41</v>
      </c>
      <c r="CG11" s="810">
        <v>6721</v>
      </c>
      <c r="CI11" s="121">
        <f t="shared" si="0"/>
        <v>2.1645021645021645E-3</v>
      </c>
      <c r="CJ11" s="121">
        <f t="shared" si="0"/>
        <v>2.9644268774703555E-3</v>
      </c>
      <c r="CL11" s="31">
        <f>CG11*CC11/1000000</f>
        <v>2.6884000000000002E-2</v>
      </c>
      <c r="CM11" s="121">
        <f t="shared" si="1"/>
        <v>5.4715752360508565E-6</v>
      </c>
      <c r="CO11" t="s">
        <v>298</v>
      </c>
      <c r="CP11" t="s">
        <v>264</v>
      </c>
      <c r="CQ11" s="147">
        <f>CM9</f>
        <v>0.35799060912019864</v>
      </c>
      <c r="CR11" s="31">
        <f>CQ11*$DN$9</f>
        <v>483.06657030551258</v>
      </c>
      <c r="CS11">
        <v>8</v>
      </c>
      <c r="CT11">
        <f>CS11/100</f>
        <v>0.08</v>
      </c>
      <c r="CU11">
        <v>0.75</v>
      </c>
      <c r="CV11">
        <f>CU11*CT11</f>
        <v>0.06</v>
      </c>
      <c r="CW11">
        <v>44.3</v>
      </c>
      <c r="CX11">
        <f>CW11*CV11</f>
        <v>2.6579999999999999</v>
      </c>
      <c r="CY11">
        <v>70.9769741921898</v>
      </c>
      <c r="CZ11">
        <v>7.3169105356480999E-3</v>
      </c>
      <c r="DA11">
        <v>6.0998104818480998E-4</v>
      </c>
      <c r="DB11" s="31">
        <f>CX11*CR11</f>
        <v>1283.9909438720524</v>
      </c>
      <c r="DC11" s="31">
        <f>$DB11*CY11</f>
        <v>91133.792086212081</v>
      </c>
      <c r="DD11" s="31">
        <f>$DB11*CZ11</f>
        <v>9.3948468648941681</v>
      </c>
      <c r="DE11" s="31">
        <f>$DB11*DA11</f>
        <v>0.78321014180287807</v>
      </c>
      <c r="DF11" s="655">
        <f>DC11+DD11*$DD$8+DE11*$DE$8</f>
        <v>91604.398486006889</v>
      </c>
      <c r="DG11">
        <v>2.34</v>
      </c>
      <c r="DH11">
        <f>DG11*CT11*CR11*1000000</f>
        <v>90430061.961191952</v>
      </c>
      <c r="DI11" s="419">
        <f>DH11/1000</f>
        <v>90430.061961191954</v>
      </c>
      <c r="DJ11">
        <v>211</v>
      </c>
      <c r="DK11" s="419">
        <f>DJ11/10^6*CR11*10^6</f>
        <v>101927.04633446316</v>
      </c>
      <c r="DM11"/>
      <c r="DN11" s="25" t="s">
        <v>388</v>
      </c>
      <c r="DO11" s="25" t="s">
        <v>389</v>
      </c>
      <c r="DP11" s="25" t="s">
        <v>390</v>
      </c>
      <c r="DS11" s="732" t="s">
        <v>297</v>
      </c>
      <c r="DT11" s="732">
        <v>5</v>
      </c>
      <c r="DU11" s="732">
        <v>5</v>
      </c>
      <c r="DV11" s="734">
        <v>1</v>
      </c>
      <c r="DW11" s="732">
        <v>18.41</v>
      </c>
      <c r="DX11" s="733">
        <v>6721</v>
      </c>
      <c r="DZ11" s="121">
        <f t="shared" si="2"/>
        <v>2.8216704288939053E-3</v>
      </c>
      <c r="EA11" s="121">
        <f t="shared" si="2"/>
        <v>5.6947608200455585E-3</v>
      </c>
      <c r="EC11" s="31">
        <f>DX11*DT11/1000000</f>
        <v>3.3605000000000003E-2</v>
      </c>
      <c r="ED11" s="121">
        <f t="shared" si="3"/>
        <v>8.0639591708623635E-6</v>
      </c>
      <c r="EF11" t="s">
        <v>298</v>
      </c>
      <c r="EG11" t="s">
        <v>264</v>
      </c>
      <c r="EH11" s="147">
        <f>ED9</f>
        <v>0.39640245859007239</v>
      </c>
      <c r="EI11" s="31">
        <f>EH11*$FE$9</f>
        <v>432.36043915448982</v>
      </c>
      <c r="EJ11">
        <v>8</v>
      </c>
      <c r="EK11">
        <f>EJ11/100</f>
        <v>0.08</v>
      </c>
      <c r="EL11">
        <v>0.75</v>
      </c>
      <c r="EM11">
        <f>EL11*EK11</f>
        <v>0.06</v>
      </c>
      <c r="EN11">
        <v>44.3</v>
      </c>
      <c r="EO11">
        <f>EN11*EM11</f>
        <v>2.6579999999999999</v>
      </c>
      <c r="EP11">
        <v>70.9769741921898</v>
      </c>
      <c r="EQ11">
        <v>7.3169105356480999E-3</v>
      </c>
      <c r="ER11">
        <v>6.0998104818480998E-4</v>
      </c>
      <c r="ES11" s="31">
        <f t="shared" ref="ES11:ES28" si="18">EO11*EI11</f>
        <v>1149.2140472726339</v>
      </c>
      <c r="ET11" s="31">
        <f t="shared" ref="ET11:ET28" si="19">$ES11*EP11</f>
        <v>81567.735774571731</v>
      </c>
      <c r="EU11" s="31">
        <f t="shared" ref="EU11:EU28" si="20">$ES11*EQ11</f>
        <v>8.4086963702039288</v>
      </c>
      <c r="EV11" s="31">
        <f t="shared" ref="EV11:EV28" si="21">$ES11*ER11</f>
        <v>0.70099878914406899</v>
      </c>
      <c r="EW11" s="655">
        <f t="shared" ref="EW11:EW28" si="22">ET11+EU11*$EU$8+EV11*$EV$8</f>
        <v>81988.943952060625</v>
      </c>
      <c r="EX11">
        <v>2.34</v>
      </c>
      <c r="EY11">
        <f t="shared" ref="EY11:EY28" si="23">EX11*EK11*EI11*1000000</f>
        <v>80937874.209720492</v>
      </c>
      <c r="EZ11" s="419">
        <f>EY11/1000</f>
        <v>80937.874209720496</v>
      </c>
      <c r="FA11">
        <v>211</v>
      </c>
      <c r="FB11" s="419">
        <f t="shared" ref="FB11:FB28" si="24">FA11/10^6*EI11*10^6</f>
        <v>91228.05266159735</v>
      </c>
      <c r="FE11" s="25" t="s">
        <v>388</v>
      </c>
      <c r="FF11" s="25" t="s">
        <v>389</v>
      </c>
      <c r="FG11" s="25" t="s">
        <v>390</v>
      </c>
      <c r="FJ11" s="635" t="s">
        <v>297</v>
      </c>
      <c r="FK11" s="628">
        <v>6</v>
      </c>
      <c r="FL11" s="628">
        <v>5</v>
      </c>
      <c r="FM11" s="627">
        <v>0.83</v>
      </c>
      <c r="FN11" s="628">
        <v>23.05</v>
      </c>
      <c r="FO11" s="636">
        <v>8412</v>
      </c>
      <c r="FQ11" s="121">
        <f t="shared" si="4"/>
        <v>3.4305317324185248E-3</v>
      </c>
      <c r="FR11" s="121">
        <f t="shared" si="4"/>
        <v>6.2893081761006293E-3</v>
      </c>
      <c r="FT11" s="31">
        <f>FO11*FK11/1000000</f>
        <v>5.0472000000000003E-2</v>
      </c>
      <c r="FU11" s="121">
        <f t="shared" si="5"/>
        <v>1.2111416374699157E-5</v>
      </c>
      <c r="FW11" t="s">
        <v>298</v>
      </c>
      <c r="FX11" t="s">
        <v>264</v>
      </c>
      <c r="FY11" s="147">
        <f>FU9</f>
        <v>0.41374882664474832</v>
      </c>
      <c r="FZ11" s="31">
        <f t="shared" ref="FZ11:FZ28" si="25">FY11*$GV$9</f>
        <v>412.63346435319897</v>
      </c>
      <c r="GA11">
        <v>8</v>
      </c>
      <c r="GB11">
        <f>GA11/100</f>
        <v>0.08</v>
      </c>
      <c r="GC11">
        <v>0.75</v>
      </c>
      <c r="GD11">
        <f>GC11*GB11</f>
        <v>0.06</v>
      </c>
      <c r="GE11">
        <v>44.3</v>
      </c>
      <c r="GF11">
        <f>GE11*GD11</f>
        <v>2.6579999999999999</v>
      </c>
      <c r="GG11">
        <v>72.416541095973002</v>
      </c>
      <c r="GH11">
        <f>7.87852632644844/1000</f>
        <v>7.8785263264484397E-3</v>
      </c>
      <c r="GI11">
        <f>0.93521034397128/1000</f>
        <v>9.3521034397127997E-4</v>
      </c>
      <c r="GJ11" s="31">
        <f t="shared" ref="GJ11:GJ28" si="26">GF11*FZ11</f>
        <v>1096.7797482508029</v>
      </c>
      <c r="GK11" s="31">
        <f t="shared" ref="GK11:GK28" si="27">$GJ11*GG11</f>
        <v>79424.995712435193</v>
      </c>
      <c r="GL11" s="31">
        <f t="shared" ref="GL11:GL28" si="28">$GJ11*GH11</f>
        <v>8.6410081209094418</v>
      </c>
      <c r="GM11" s="31">
        <f t="shared" ref="GM11:GM28" si="29">$GJ11*GI11</f>
        <v>1.0257197656223671</v>
      </c>
      <c r="GN11" s="655">
        <f>GK11+GL11*$GL$8+GM11*$GM$8</f>
        <v>79938.759677710594</v>
      </c>
      <c r="GO11">
        <v>2.34</v>
      </c>
      <c r="GP11">
        <f t="shared" ref="GP11:GP28" si="30">GO11*GB11*FZ11*1000000</f>
        <v>77244984.526918858</v>
      </c>
      <c r="GQ11" s="419">
        <f>GP11/1000</f>
        <v>77244.984526918852</v>
      </c>
      <c r="GR11">
        <v>211</v>
      </c>
      <c r="GS11" s="419">
        <f t="shared" ref="GS11:GS28" si="31">GR11/10^6*FZ11*10^6</f>
        <v>87065.660978524989</v>
      </c>
      <c r="GV11" s="25" t="s">
        <v>388</v>
      </c>
      <c r="GW11" s="25" t="s">
        <v>389</v>
      </c>
      <c r="GX11" s="25" t="s">
        <v>390</v>
      </c>
      <c r="GZ11" s="116" t="s">
        <v>297</v>
      </c>
      <c r="HA11" s="119">
        <v>6</v>
      </c>
      <c r="HB11" s="119">
        <v>4</v>
      </c>
      <c r="HC11" s="118">
        <v>0.67</v>
      </c>
      <c r="HD11" s="119">
        <v>80.099999999999994</v>
      </c>
      <c r="HE11" s="120">
        <v>29237</v>
      </c>
      <c r="HG11" s="121">
        <f t="shared" si="13"/>
        <v>3.3482142857142855E-3</v>
      </c>
      <c r="HH11" s="121">
        <f t="shared" si="13"/>
        <v>4.048582995951417E-3</v>
      </c>
      <c r="HJ11" s="31">
        <f t="shared" si="6"/>
        <v>0.17542199999999999</v>
      </c>
      <c r="HK11" s="121">
        <f t="shared" si="7"/>
        <v>4.12978389741252E-5</v>
      </c>
      <c r="HM11" t="s">
        <v>298</v>
      </c>
      <c r="HN11" t="s">
        <v>264</v>
      </c>
      <c r="HO11" s="147">
        <f>HK9</f>
        <v>0.43324749774321492</v>
      </c>
      <c r="HP11" s="31">
        <f t="shared" ref="HP11:HP28" si="32">HO11*IL$9</f>
        <v>481.19635514130749</v>
      </c>
      <c r="HQ11">
        <v>8</v>
      </c>
      <c r="HR11">
        <f>HQ11/100</f>
        <v>0.08</v>
      </c>
      <c r="HS11">
        <v>0.75</v>
      </c>
      <c r="HT11">
        <f>HS11*HR11</f>
        <v>0.06</v>
      </c>
      <c r="HU11">
        <v>44.3</v>
      </c>
      <c r="HV11">
        <f>HU11*HT11</f>
        <v>2.6579999999999999</v>
      </c>
      <c r="HW11">
        <v>72.416541095972974</v>
      </c>
      <c r="HX11">
        <f>7.87852632644844/1000</f>
        <v>7.8785263264484397E-3</v>
      </c>
      <c r="HY11">
        <f>0.93521034397128/1000</f>
        <v>9.3521034397127997E-4</v>
      </c>
      <c r="HZ11" s="31">
        <f t="shared" ref="HZ11:HZ28" si="33">HV11*HP11</f>
        <v>1279.0199119655954</v>
      </c>
      <c r="IA11" s="31">
        <f>$HZ11*HW11</f>
        <v>92622.198017424278</v>
      </c>
      <c r="IB11" s="31">
        <f t="shared" ref="IB11:IC26" si="34">$HZ11*HX11</f>
        <v>10.07679204847271</v>
      </c>
      <c r="IC11" s="31">
        <f t="shared" si="34"/>
        <v>1.1961526518154606</v>
      </c>
      <c r="ID11" s="655">
        <f t="shared" ref="ID11:ID28" si="35">IA11+IB11*$GL$8+IC11*$GM$8</f>
        <v>93221.328647512608</v>
      </c>
      <c r="IE11">
        <v>2.34</v>
      </c>
      <c r="IF11">
        <f t="shared" ref="IF11:IF28" si="36">IE11*HR11*HP11*1000000</f>
        <v>90079957.682452768</v>
      </c>
      <c r="IG11" s="419">
        <f>IF11/1000</f>
        <v>90079.957682452761</v>
      </c>
      <c r="IH11">
        <v>211</v>
      </c>
      <c r="II11" s="419">
        <f t="shared" ref="II11:II28" si="37">IH11/10^6*HP11*10^6</f>
        <v>101532.43093481589</v>
      </c>
      <c r="IL11" s="25" t="s">
        <v>388</v>
      </c>
      <c r="IM11" s="25" t="s">
        <v>389</v>
      </c>
      <c r="IN11" s="25" t="s">
        <v>390</v>
      </c>
      <c r="IP11" s="635" t="s">
        <v>297</v>
      </c>
      <c r="IQ11" s="628">
        <v>6</v>
      </c>
      <c r="IR11" s="628">
        <v>4</v>
      </c>
      <c r="IS11" s="627">
        <v>0.67</v>
      </c>
      <c r="IT11" s="628">
        <v>87.43</v>
      </c>
      <c r="IU11" s="636">
        <v>31911</v>
      </c>
      <c r="IW11" s="121">
        <f t="shared" si="14"/>
        <v>3.4285714285714284E-3</v>
      </c>
      <c r="IX11" s="121">
        <f t="shared" si="15"/>
        <v>4.206098843322818E-3</v>
      </c>
      <c r="IZ11" s="31">
        <f t="shared" si="8"/>
        <v>0.191466</v>
      </c>
      <c r="JA11" s="121">
        <f t="shared" si="9"/>
        <v>4.5074916698132824E-5</v>
      </c>
      <c r="JC11" t="s">
        <v>298</v>
      </c>
      <c r="JD11" t="s">
        <v>264</v>
      </c>
      <c r="JE11" s="147">
        <f>JA9</f>
        <v>0.44840498268816309</v>
      </c>
      <c r="JF11" s="31">
        <f t="shared" ref="JF11:JF28" si="38">JE11*KB$9</f>
        <v>492.57017922335558</v>
      </c>
      <c r="JG11">
        <v>8</v>
      </c>
      <c r="JH11">
        <f>JG11/100</f>
        <v>0.08</v>
      </c>
      <c r="JI11">
        <v>0.75</v>
      </c>
      <c r="JJ11">
        <f>JI11*JH11</f>
        <v>0.06</v>
      </c>
      <c r="JK11">
        <v>44.3</v>
      </c>
      <c r="JL11">
        <f>JK11*JJ11</f>
        <v>2.6579999999999999</v>
      </c>
      <c r="JM11">
        <v>72.416541095972974</v>
      </c>
      <c r="JN11">
        <f>7.87852632644844/1000</f>
        <v>7.8785263264484397E-3</v>
      </c>
      <c r="JO11">
        <f>0.93521034397128/1000</f>
        <v>9.3521034397127997E-4</v>
      </c>
      <c r="JP11" s="31">
        <f t="shared" ref="JP11:JP28" si="39">JL11*JF11</f>
        <v>1309.2515363756791</v>
      </c>
      <c r="JQ11" s="31">
        <f>$JP11*JM11</f>
        <v>94811.467688915116</v>
      </c>
      <c r="JR11" s="31">
        <f t="shared" ref="JR11:JS26" si="40">$JP11*JN11</f>
        <v>10.314972697278854</v>
      </c>
      <c r="JS11" s="31">
        <f t="shared" si="40"/>
        <v>1.2244255796788255</v>
      </c>
      <c r="JT11" s="655">
        <f t="shared" ref="JT11:JT28" si="41">JQ11+JR11*$GL$8+JS11*$GM$8</f>
        <v>95424.759703053816</v>
      </c>
      <c r="JU11">
        <v>2.34</v>
      </c>
      <c r="JV11">
        <f t="shared" ref="JV11:JV28" si="42">JU11*JH11*JF11*1000000</f>
        <v>92209137.550612167</v>
      </c>
      <c r="JW11" s="419">
        <f>JV11/1000</f>
        <v>92209.137550612169</v>
      </c>
      <c r="JX11">
        <v>207</v>
      </c>
      <c r="JY11" s="419">
        <f t="shared" ref="JY11:JY28" si="43">JX11/10^6*JF11*10^6</f>
        <v>101962.0270992346</v>
      </c>
      <c r="KB11" s="25" t="s">
        <v>388</v>
      </c>
      <c r="KC11" s="25" t="s">
        <v>389</v>
      </c>
      <c r="KD11" s="25" t="s">
        <v>390</v>
      </c>
      <c r="KG11" s="25" t="s">
        <v>388</v>
      </c>
      <c r="KH11" s="25" t="s">
        <v>389</v>
      </c>
      <c r="KI11" s="25" t="s">
        <v>390</v>
      </c>
      <c r="KL11" s="25" t="s">
        <v>388</v>
      </c>
      <c r="KM11" s="25" t="s">
        <v>389</v>
      </c>
      <c r="KN11" s="25" t="s">
        <v>390</v>
      </c>
    </row>
    <row r="12" spans="1:300" ht="16.5" customHeight="1" thickBot="1" x14ac:dyDescent="0.8">
      <c r="A12" s="1161"/>
      <c r="B12" s="341" t="s">
        <v>299</v>
      </c>
      <c r="C12" s="342">
        <v>39806</v>
      </c>
      <c r="D12" s="343">
        <v>37070.580282304945</v>
      </c>
      <c r="E12" s="344">
        <v>35244</v>
      </c>
      <c r="F12" s="345">
        <v>112120.58028230495</v>
      </c>
      <c r="G12" s="382">
        <v>216678.58028230496</v>
      </c>
      <c r="H12" s="338"/>
      <c r="I12" s="339"/>
      <c r="J12" s="339"/>
      <c r="K12" s="339"/>
      <c r="L12" s="346"/>
      <c r="M12" s="503"/>
      <c r="AG12" s="796" t="s">
        <v>301</v>
      </c>
      <c r="AH12" s="798">
        <v>5931</v>
      </c>
      <c r="AI12" s="798">
        <v>2894</v>
      </c>
      <c r="AJ12" s="797">
        <v>0.49</v>
      </c>
      <c r="AK12" s="796">
        <v>29.76</v>
      </c>
      <c r="AL12" s="803">
        <v>10862</v>
      </c>
      <c r="AN12" s="121">
        <f t="shared" si="16"/>
        <v>0.18268904974588018</v>
      </c>
      <c r="AO12" s="121">
        <f t="shared" si="10"/>
        <v>0.14985501242750621</v>
      </c>
      <c r="AP12">
        <f t="shared" si="11"/>
        <v>64.422522000000001</v>
      </c>
      <c r="AR12" s="121">
        <f t="shared" si="12"/>
        <v>1.2963623666463293E-2</v>
      </c>
      <c r="AU12" t="s">
        <v>302</v>
      </c>
      <c r="AV12" s="147">
        <f>AR16</f>
        <v>0.29178160344596771</v>
      </c>
      <c r="AW12" s="31">
        <f t="shared" ref="AW12:AW29" si="44">AV12*$BT$9</f>
        <v>411.8366009268957</v>
      </c>
      <c r="AX12">
        <v>10.5</v>
      </c>
      <c r="AY12">
        <f t="shared" ref="AY12:AY29" si="45">AX12/100</f>
        <v>0.105</v>
      </c>
      <c r="AZ12">
        <v>0.86499999999999999</v>
      </c>
      <c r="BA12">
        <f t="shared" ref="BA12:BA29" si="46">AZ12*AY12</f>
        <v>9.0824999999999989E-2</v>
      </c>
      <c r="BB12">
        <v>43</v>
      </c>
      <c r="BC12">
        <f t="shared" ref="BC12:BC29" si="47">BB12*BA12</f>
        <v>3.9054749999999996</v>
      </c>
      <c r="BD12">
        <v>73.510933419407607</v>
      </c>
      <c r="BE12">
        <v>5.406312413867E-5</v>
      </c>
      <c r="BF12">
        <v>2.5456284629589302E-3</v>
      </c>
      <c r="BG12" s="31">
        <f t="shared" ref="BG12:BG29" si="48">BC12*AW12</f>
        <v>1608.4175490049679</v>
      </c>
      <c r="BH12" s="31">
        <f>$BG12*BD12</f>
        <v>118236.27535551097</v>
      </c>
      <c r="BI12" s="31">
        <f t="shared" ref="BI12:BJ29" si="49">$BG12*BE12</f>
        <v>8.6956077618670913E-2</v>
      </c>
      <c r="BJ12" s="31">
        <f t="shared" si="17"/>
        <v>4.094433493069686</v>
      </c>
      <c r="BK12" s="655">
        <f>BH12+BI12*$DD$8+BJ12*$DE$8</f>
        <v>119323.73500134776</v>
      </c>
      <c r="BL12">
        <v>2.72</v>
      </c>
      <c r="BM12">
        <f>BL12*AY12*AW12*1000000</f>
        <v>117620533.22472142</v>
      </c>
      <c r="BN12" s="419">
        <f t="shared" ref="BN12:BN29" si="50">BM12/1000</f>
        <v>117620.53322472141</v>
      </c>
      <c r="BO12">
        <v>187.9</v>
      </c>
      <c r="BP12" s="419">
        <f t="shared" ref="BP12:BP29" si="51">BO12/10^6*AW12*10^6</f>
        <v>77384.097314163708</v>
      </c>
      <c r="BQ12" s="419"/>
      <c r="BR12" s="419"/>
      <c r="BZ12" s="419"/>
      <c r="CB12" s="796" t="s">
        <v>301</v>
      </c>
      <c r="CC12" s="798">
        <v>5809</v>
      </c>
      <c r="CD12" s="798">
        <v>2878</v>
      </c>
      <c r="CE12" s="797">
        <v>0.5</v>
      </c>
      <c r="CF12" s="796">
        <v>30.37</v>
      </c>
      <c r="CG12" s="803">
        <v>11085</v>
      </c>
      <c r="CI12" s="121">
        <f t="shared" si="0"/>
        <v>0.1821745538934362</v>
      </c>
      <c r="CJ12" s="121">
        <f t="shared" si="0"/>
        <v>0.16202218093790463</v>
      </c>
      <c r="CL12" s="31">
        <f>CG12*CC12/1000000</f>
        <v>64.392764999999997</v>
      </c>
      <c r="CM12" s="121">
        <f t="shared" si="1"/>
        <v>1.3105559379364763E-2</v>
      </c>
      <c r="CP12" t="s">
        <v>302</v>
      </c>
      <c r="CQ12" s="147">
        <f>CM16</f>
        <v>0.30664027973118629</v>
      </c>
      <c r="CR12" s="31">
        <f t="shared" ref="CR12:CR28" si="52">CQ12*$DN$9</f>
        <v>413.7752903946481</v>
      </c>
      <c r="CS12">
        <v>10.5</v>
      </c>
      <c r="CT12">
        <f t="shared" ref="CT12:CT28" si="53">CS12/100</f>
        <v>0.105</v>
      </c>
      <c r="CU12">
        <v>0.86499999999999999</v>
      </c>
      <c r="CV12">
        <f t="shared" ref="CV12:CV28" si="54">CU12*CT12</f>
        <v>9.0824999999999989E-2</v>
      </c>
      <c r="CW12">
        <v>43</v>
      </c>
      <c r="CX12">
        <f t="shared" ref="CX12:CX28" si="55">CW12*CV12</f>
        <v>3.9054749999999996</v>
      </c>
      <c r="CY12">
        <v>74.054734089485606</v>
      </c>
      <c r="CZ12">
        <v>1.1457692289250001E-4</v>
      </c>
      <c r="DA12">
        <v>2.5659043229536902E-3</v>
      </c>
      <c r="DB12" s="31">
        <f t="shared" ref="DB12:DB28" si="56">CX12*CR12</f>
        <v>1615.9890522540381</v>
      </c>
      <c r="DC12" s="31">
        <f t="shared" ref="DC12:DC28" si="57">$DB12*CY12</f>
        <v>119671.63955619266</v>
      </c>
      <c r="DD12" s="31">
        <f t="shared" ref="DD12:DD28" si="58">$DB12*CZ12</f>
        <v>0.18515505303523508</v>
      </c>
      <c r="DE12" s="31">
        <f t="shared" ref="DE12:DE28" si="59">$DB12*DA12</f>
        <v>4.1464732950244736</v>
      </c>
      <c r="DF12" s="655">
        <f t="shared" ref="DF12:DF28" si="60">DC12+DD12*$DD$8+DE12*$DE$8</f>
        <v>120775.63932085913</v>
      </c>
      <c r="DG12">
        <v>2.72</v>
      </c>
      <c r="DH12">
        <f t="shared" ref="DH12:DH28" si="61">DG12*CT12*CR12*1000000</f>
        <v>118174222.93671151</v>
      </c>
      <c r="DI12" s="419">
        <f t="shared" ref="DI12:DI28" si="62">DH12/1000</f>
        <v>118174.22293671151</v>
      </c>
      <c r="DJ12">
        <v>187.9</v>
      </c>
      <c r="DK12" s="419">
        <f t="shared" ref="DK12:DK28" si="63">DJ12/10^6*CR12*10^6</f>
        <v>77748.377065154389</v>
      </c>
      <c r="DM12"/>
      <c r="DN12"/>
      <c r="DO12"/>
      <c r="DP12"/>
      <c r="DS12" s="735" t="s">
        <v>301</v>
      </c>
      <c r="DT12" s="737">
        <v>5806</v>
      </c>
      <c r="DU12" s="737">
        <v>2916</v>
      </c>
      <c r="DV12" s="736">
        <v>0.5</v>
      </c>
      <c r="DW12" s="735">
        <v>27.27</v>
      </c>
      <c r="DX12" s="737">
        <v>9954</v>
      </c>
      <c r="DZ12" s="121">
        <f t="shared" si="2"/>
        <v>0.19156026262826223</v>
      </c>
      <c r="EA12" s="121">
        <f t="shared" si="2"/>
        <v>0.17446452076103866</v>
      </c>
      <c r="EC12" s="31">
        <f>DX12*DT12/1000000</f>
        <v>57.792923999999999</v>
      </c>
      <c r="ED12" s="121">
        <f t="shared" si="3"/>
        <v>1.3868167817311457E-2</v>
      </c>
      <c r="EG12" t="s">
        <v>302</v>
      </c>
      <c r="EH12" s="147">
        <f>ED16</f>
        <v>0.32815822004581735</v>
      </c>
      <c r="EI12" s="31">
        <f t="shared" ref="EI12:EI28" si="64">EH12*$FE$9</f>
        <v>357.92571175217893</v>
      </c>
      <c r="EJ12">
        <v>10.5</v>
      </c>
      <c r="EK12">
        <f t="shared" ref="EK12:EK28" si="65">EJ12/100</f>
        <v>0.105</v>
      </c>
      <c r="EL12">
        <v>0.86499999999999999</v>
      </c>
      <c r="EM12">
        <f t="shared" ref="EM12:EM28" si="66">EL12*EK12</f>
        <v>9.0824999999999989E-2</v>
      </c>
      <c r="EN12">
        <v>43</v>
      </c>
      <c r="EO12">
        <f t="shared" ref="EO12:EO28" si="67">EN12*EM12</f>
        <v>3.9054749999999996</v>
      </c>
      <c r="EP12">
        <v>74.054734089485606</v>
      </c>
      <c r="EQ12">
        <v>1.1457692289250001E-4</v>
      </c>
      <c r="ER12">
        <v>2.5659043229536902E-3</v>
      </c>
      <c r="ES12" s="31">
        <f t="shared" si="18"/>
        <v>1397.8699191053408</v>
      </c>
      <c r="ET12" s="31">
        <f>$ES12*EP12</f>
        <v>103518.88515103677</v>
      </c>
      <c r="EU12" s="31">
        <f t="shared" si="20"/>
        <v>0.16016363393507785</v>
      </c>
      <c r="EV12" s="31">
        <f t="shared" si="21"/>
        <v>3.5868004683593191</v>
      </c>
      <c r="EW12" s="655">
        <f t="shared" si="22"/>
        <v>104473.87185690216</v>
      </c>
      <c r="EX12">
        <v>2.72</v>
      </c>
      <c r="EY12">
        <f t="shared" si="23"/>
        <v>102223583.27642231</v>
      </c>
      <c r="EZ12" s="419">
        <f t="shared" ref="EZ12:EZ28" si="68">EY12/1000</f>
        <v>102223.5832764223</v>
      </c>
      <c r="FA12">
        <v>187.9</v>
      </c>
      <c r="FB12" s="419">
        <f t="shared" si="24"/>
        <v>67254.241238234419</v>
      </c>
      <c r="FJ12" s="637" t="s">
        <v>301</v>
      </c>
      <c r="FK12" s="631">
        <v>6011</v>
      </c>
      <c r="FL12" s="631">
        <v>2928</v>
      </c>
      <c r="FM12" s="630">
        <v>0.49</v>
      </c>
      <c r="FN12" s="629">
        <v>27.99</v>
      </c>
      <c r="FO12" s="638">
        <v>10214</v>
      </c>
      <c r="FQ12" s="121">
        <f t="shared" si="4"/>
        <v>0.20403244967923695</v>
      </c>
      <c r="FR12" s="121">
        <f t="shared" si="4"/>
        <v>0.19220165419456478</v>
      </c>
      <c r="FT12" s="31">
        <f>FO12*FK12/1000000</f>
        <v>61.396354000000002</v>
      </c>
      <c r="FU12" s="121">
        <f t="shared" si="5"/>
        <v>1.4732857964463981E-2</v>
      </c>
      <c r="FX12" t="s">
        <v>302</v>
      </c>
      <c r="FY12" s="147">
        <f>FU16</f>
        <v>0.3287220032145618</v>
      </c>
      <c r="FZ12" s="31">
        <f t="shared" si="25"/>
        <v>327.83585175460155</v>
      </c>
      <c r="GA12">
        <v>10.5</v>
      </c>
      <c r="GB12">
        <f t="shared" ref="GB12:GB13" si="69">GA12/100</f>
        <v>0.105</v>
      </c>
      <c r="GC12">
        <v>0.86499999999999999</v>
      </c>
      <c r="GD12">
        <f t="shared" ref="GD12:GD13" si="70">GC12*GB12</f>
        <v>9.0824999999999989E-2</v>
      </c>
      <c r="GE12">
        <v>43</v>
      </c>
      <c r="GF12">
        <f t="shared" ref="GF12:GF13" si="71">GE12*GD12</f>
        <v>3.9054749999999996</v>
      </c>
      <c r="GG12">
        <v>73.367636682232202</v>
      </c>
      <c r="GH12">
        <f>0.06636778941357/1000</f>
        <v>6.6367789413569991E-5</v>
      </c>
      <c r="GI12">
        <f>2.52657658902305/1000</f>
        <v>2.5265765890230499E-3</v>
      </c>
      <c r="GJ12" s="31">
        <f t="shared" si="26"/>
        <v>1280.3547231313023</v>
      </c>
      <c r="GK12" s="31">
        <f t="shared" si="27"/>
        <v>93936.600151077393</v>
      </c>
      <c r="GL12" s="31">
        <f t="shared" si="28"/>
        <v>8.4974312639447977E-2</v>
      </c>
      <c r="GM12" s="31">
        <f t="shared" si="29"/>
        <v>3.2349142691086374</v>
      </c>
      <c r="GN12" s="655">
        <f t="shared" ref="GN12:GN28" si="72">GK12+GL12*$GL$8+GM12*$GM$8</f>
        <v>94796.231713145084</v>
      </c>
      <c r="GO12">
        <v>2.72</v>
      </c>
      <c r="GP12">
        <f t="shared" si="30"/>
        <v>93629919.26111421</v>
      </c>
      <c r="GQ12" s="419">
        <f t="shared" ref="GQ12:GQ13" si="73">GP12/1000</f>
        <v>93629.919261114206</v>
      </c>
      <c r="GR12">
        <v>187.9</v>
      </c>
      <c r="GS12" s="419">
        <f t="shared" si="31"/>
        <v>61600.356544689639</v>
      </c>
      <c r="GZ12" s="133" t="s">
        <v>301</v>
      </c>
      <c r="HA12" s="156">
        <v>6269</v>
      </c>
      <c r="HB12" s="156">
        <v>3214</v>
      </c>
      <c r="HC12" s="135">
        <v>0.51</v>
      </c>
      <c r="HD12" s="134">
        <v>29.17</v>
      </c>
      <c r="HE12" s="136">
        <v>10647</v>
      </c>
      <c r="HG12" s="121">
        <f t="shared" si="13"/>
        <v>0.21662807975396522</v>
      </c>
      <c r="HH12" s="121">
        <f t="shared" si="13"/>
        <v>0.21798697775366252</v>
      </c>
      <c r="HJ12" s="31">
        <f t="shared" si="6"/>
        <v>66.746043</v>
      </c>
      <c r="HK12" s="121">
        <f t="shared" si="7"/>
        <v>1.5713350297990199E-2</v>
      </c>
      <c r="HN12" t="s">
        <v>302</v>
      </c>
      <c r="HO12" s="147">
        <f>HK16</f>
        <v>0.32956545119115854</v>
      </c>
      <c r="HP12" s="31">
        <f t="shared" si="32"/>
        <v>366.03949179108577</v>
      </c>
      <c r="HQ12">
        <v>10.5</v>
      </c>
      <c r="HR12">
        <f t="shared" ref="HR12:HR17" si="74">HQ12/100</f>
        <v>0.105</v>
      </c>
      <c r="HS12">
        <v>0.86499999999999999</v>
      </c>
      <c r="HT12">
        <f t="shared" ref="HT12:HT17" si="75">HS12*HR12</f>
        <v>9.0824999999999989E-2</v>
      </c>
      <c r="HU12">
        <v>43</v>
      </c>
      <c r="HV12">
        <f t="shared" ref="HV12:HV17" si="76">HU12*HT12</f>
        <v>3.9054749999999996</v>
      </c>
      <c r="HW12">
        <v>73.367636682232202</v>
      </c>
      <c r="HX12">
        <f>0.06636778941357/1000</f>
        <v>6.6367789413569991E-5</v>
      </c>
      <c r="HY12">
        <f>2.52657658902305/1000</f>
        <v>2.5265765890230499E-3</v>
      </c>
      <c r="HZ12" s="31">
        <f t="shared" si="33"/>
        <v>1429.5580842027905</v>
      </c>
      <c r="IA12" s="31">
        <f t="shared" ref="IA12:IA28" si="77">$HZ12*HW12</f>
        <v>104883.29813793824</v>
      </c>
      <c r="IB12" s="31">
        <f t="shared" si="34"/>
        <v>9.4876609886837354E-2</v>
      </c>
      <c r="IC12" s="31">
        <f t="shared" si="34"/>
        <v>3.6118879881954125</v>
      </c>
      <c r="ID12" s="655">
        <f t="shared" si="35"/>
        <v>105843.10499988685</v>
      </c>
      <c r="IE12">
        <v>2.72</v>
      </c>
      <c r="IF12">
        <f t="shared" si="36"/>
        <v>104540878.85553411</v>
      </c>
      <c r="IG12" s="419">
        <f t="shared" ref="IG12:IG17" si="78">IF12/1000</f>
        <v>104540.8788555341</v>
      </c>
      <c r="IH12">
        <v>187.9</v>
      </c>
      <c r="II12" s="419">
        <f t="shared" si="37"/>
        <v>68778.820507545024</v>
      </c>
      <c r="IP12" s="637" t="s">
        <v>301</v>
      </c>
      <c r="IQ12" s="631">
        <v>6543</v>
      </c>
      <c r="IR12" s="631">
        <v>3392</v>
      </c>
      <c r="IS12" s="630">
        <v>0.52</v>
      </c>
      <c r="IT12" s="629">
        <v>27.78</v>
      </c>
      <c r="IU12" s="638">
        <v>10139</v>
      </c>
      <c r="IW12" s="121">
        <f t="shared" si="14"/>
        <v>0.23318721265903988</v>
      </c>
      <c r="IX12" s="121">
        <f t="shared" si="15"/>
        <v>0.23229694562388714</v>
      </c>
      <c r="IZ12" s="31">
        <f t="shared" si="8"/>
        <v>66.339477000000002</v>
      </c>
      <c r="JA12" s="121">
        <f t="shared" si="9"/>
        <v>1.5617636549427567E-2</v>
      </c>
      <c r="JD12" t="s">
        <v>302</v>
      </c>
      <c r="JE12" s="147">
        <f>JA16</f>
        <v>0.31929873548908966</v>
      </c>
      <c r="JF12" s="31">
        <f t="shared" si="38"/>
        <v>350.7477424153152</v>
      </c>
      <c r="JG12">
        <v>10.5</v>
      </c>
      <c r="JH12">
        <f t="shared" ref="JH12:JH17" si="79">JG12/100</f>
        <v>0.105</v>
      </c>
      <c r="JI12">
        <v>0.86499999999999999</v>
      </c>
      <c r="JJ12">
        <f t="shared" ref="JJ12:JJ17" si="80">JI12*JH12</f>
        <v>9.0824999999999989E-2</v>
      </c>
      <c r="JK12">
        <v>43</v>
      </c>
      <c r="JL12">
        <f t="shared" ref="JL12:JL17" si="81">JK12*JJ12</f>
        <v>3.9054749999999996</v>
      </c>
      <c r="JM12">
        <v>73.367636682232202</v>
      </c>
      <c r="JN12">
        <f>0.06636778941357/1000</f>
        <v>6.6367789413569991E-5</v>
      </c>
      <c r="JO12">
        <f>2.52657658902305/1000</f>
        <v>2.5265765890230499E-3</v>
      </c>
      <c r="JP12" s="31">
        <f t="shared" si="39"/>
        <v>1369.836539309453</v>
      </c>
      <c r="JQ12" s="31">
        <f t="shared" ref="JQ12:JQ28" si="82">$JP12*JM12</f>
        <v>100501.66953010224</v>
      </c>
      <c r="JR12" s="31">
        <f t="shared" si="40"/>
        <v>9.0913022971903262E-2</v>
      </c>
      <c r="JS12" s="31">
        <f t="shared" si="40"/>
        <v>3.460996931007617</v>
      </c>
      <c r="JT12" s="655">
        <f t="shared" si="41"/>
        <v>101421.37928146248</v>
      </c>
      <c r="JU12">
        <v>2.72</v>
      </c>
      <c r="JV12">
        <f t="shared" si="42"/>
        <v>100173555.23381403</v>
      </c>
      <c r="JW12" s="419">
        <f t="shared" ref="JW12:JW17" si="83">JV12/1000</f>
        <v>100173.55523381403</v>
      </c>
      <c r="JX12">
        <v>188</v>
      </c>
      <c r="JY12" s="419">
        <f t="shared" si="43"/>
        <v>65940.575574079252</v>
      </c>
    </row>
    <row r="13" spans="1:300" ht="16.5" customHeight="1" thickBot="1" x14ac:dyDescent="0.8">
      <c r="A13" s="1161"/>
      <c r="B13" s="341" t="s">
        <v>303</v>
      </c>
      <c r="C13" s="342">
        <v>39314</v>
      </c>
      <c r="D13" s="343">
        <v>37980.72629630773</v>
      </c>
      <c r="E13" s="344">
        <v>36152</v>
      </c>
      <c r="F13" s="345">
        <v>113446.72629630772</v>
      </c>
      <c r="G13" s="382">
        <v>330125.30657861265</v>
      </c>
      <c r="H13" s="347"/>
      <c r="I13" s="339"/>
      <c r="J13" s="339"/>
      <c r="K13" s="339"/>
      <c r="L13" s="339"/>
      <c r="M13" s="503"/>
      <c r="Q13" t="s">
        <v>940</v>
      </c>
      <c r="V13" t="s">
        <v>945</v>
      </c>
      <c r="Y13" t="s">
        <v>944</v>
      </c>
      <c r="AB13">
        <f>V25/Y25</f>
        <v>1.2194183864915573</v>
      </c>
      <c r="AG13" s="795" t="s">
        <v>305</v>
      </c>
      <c r="AH13" s="795">
        <v>616</v>
      </c>
      <c r="AI13" s="795">
        <v>181</v>
      </c>
      <c r="AJ13" s="794">
        <v>0.28999999999999998</v>
      </c>
      <c r="AK13" s="795">
        <v>11.78</v>
      </c>
      <c r="AL13" s="802">
        <v>4300</v>
      </c>
      <c r="AN13" s="121">
        <f t="shared" si="16"/>
        <v>9.453652547575199E-2</v>
      </c>
      <c r="AO13" s="121">
        <f t="shared" si="10"/>
        <v>4.787093361544565E-2</v>
      </c>
      <c r="AP13">
        <f t="shared" si="11"/>
        <v>2.6488</v>
      </c>
      <c r="AR13" s="121">
        <f t="shared" si="12"/>
        <v>5.3301307216330294E-4</v>
      </c>
      <c r="AU13" t="s">
        <v>334</v>
      </c>
      <c r="AV13" s="147">
        <f>AR23</f>
        <v>7.6138212852453424E-2</v>
      </c>
      <c r="AW13" s="31">
        <f t="shared" si="44"/>
        <v>107.46566065673676</v>
      </c>
      <c r="AX13">
        <v>0</v>
      </c>
      <c r="AY13">
        <f t="shared" si="45"/>
        <v>0</v>
      </c>
      <c r="BA13">
        <f t="shared" si="46"/>
        <v>0</v>
      </c>
      <c r="BB13">
        <v>0</v>
      </c>
      <c r="BC13">
        <f t="shared" si="47"/>
        <v>0</v>
      </c>
      <c r="BD13">
        <v>72.335002492541093</v>
      </c>
      <c r="BE13">
        <v>7.1637159556547196E-3</v>
      </c>
      <c r="BF13">
        <v>4.7891015874360001E-4</v>
      </c>
      <c r="BG13" s="31">
        <f>BC13*AW13</f>
        <v>0</v>
      </c>
      <c r="BH13" s="31">
        <f>$BG13*BD13</f>
        <v>0</v>
      </c>
      <c r="BI13" s="31">
        <f t="shared" si="49"/>
        <v>0</v>
      </c>
      <c r="BJ13" s="31">
        <f t="shared" si="17"/>
        <v>0</v>
      </c>
      <c r="BK13" s="655">
        <f>BH13+BI13*$DD$8+BJ13*$DE$8</f>
        <v>0</v>
      </c>
      <c r="BL13">
        <v>2.34</v>
      </c>
      <c r="BM13">
        <f t="shared" ref="BM13:BM29" si="84">BL13*AY13*AW13*1000000</f>
        <v>0</v>
      </c>
      <c r="BN13" s="419">
        <f t="shared" si="50"/>
        <v>0</v>
      </c>
      <c r="BO13">
        <v>0</v>
      </c>
      <c r="BP13" s="419">
        <f t="shared" si="51"/>
        <v>0</v>
      </c>
      <c r="BQ13" s="419"/>
      <c r="BR13" s="419"/>
      <c r="BS13" t="s">
        <v>223</v>
      </c>
      <c r="BT13" s="31">
        <f>SUM(BK11:BK19)</f>
        <v>219530.29649871241</v>
      </c>
      <c r="BU13" s="31">
        <f>SUM(BN11:BN19)</f>
        <v>222705.0131055321</v>
      </c>
      <c r="BV13">
        <f>SUM(BP11:BP19)</f>
        <v>195561.93135068289</v>
      </c>
      <c r="BW13" s="31"/>
      <c r="BZ13" s="419"/>
      <c r="CB13" s="795" t="s">
        <v>305</v>
      </c>
      <c r="CC13" s="795">
        <v>619</v>
      </c>
      <c r="CD13" s="795">
        <v>171</v>
      </c>
      <c r="CE13" s="794">
        <v>0.28000000000000003</v>
      </c>
      <c r="CF13" s="795">
        <v>14.65</v>
      </c>
      <c r="CG13" s="802">
        <v>5347</v>
      </c>
      <c r="CI13" s="121">
        <f t="shared" si="0"/>
        <v>9.7265870521684478E-2</v>
      </c>
      <c r="CJ13" s="121">
        <f t="shared" si="0"/>
        <v>4.8169014084507043E-2</v>
      </c>
      <c r="CL13" s="31">
        <f>CG13*CC13/1000000</f>
        <v>3.309793</v>
      </c>
      <c r="CM13" s="121">
        <f t="shared" si="1"/>
        <v>6.7362674509948187E-4</v>
      </c>
      <c r="CP13" t="s">
        <v>334</v>
      </c>
      <c r="CQ13" s="147">
        <f>CM23</f>
        <v>4.8580199515719673E-2</v>
      </c>
      <c r="CR13" s="31">
        <f t="shared" si="52"/>
        <v>65.553312760047305</v>
      </c>
      <c r="CS13">
        <v>0</v>
      </c>
      <c r="CT13">
        <f t="shared" si="53"/>
        <v>0</v>
      </c>
      <c r="CU13">
        <v>0</v>
      </c>
      <c r="CV13">
        <f t="shared" si="54"/>
        <v>0</v>
      </c>
      <c r="CW13">
        <v>0</v>
      </c>
      <c r="CX13">
        <f t="shared" si="55"/>
        <v>0</v>
      </c>
      <c r="CY13">
        <v>70.9769741921898</v>
      </c>
      <c r="CZ13">
        <v>7.3169105356480999E-3</v>
      </c>
      <c r="DA13">
        <v>6.0998104818480998E-4</v>
      </c>
      <c r="DB13" s="31">
        <f t="shared" si="56"/>
        <v>0</v>
      </c>
      <c r="DC13" s="31">
        <f t="shared" si="57"/>
        <v>0</v>
      </c>
      <c r="DD13" s="31">
        <f t="shared" si="58"/>
        <v>0</v>
      </c>
      <c r="DE13" s="31">
        <f t="shared" si="59"/>
        <v>0</v>
      </c>
      <c r="DF13" s="655">
        <f t="shared" si="60"/>
        <v>0</v>
      </c>
      <c r="DG13">
        <v>2.34</v>
      </c>
      <c r="DH13">
        <f t="shared" si="61"/>
        <v>0</v>
      </c>
      <c r="DI13" s="419">
        <f t="shared" si="62"/>
        <v>0</v>
      </c>
      <c r="DJ13">
        <v>0</v>
      </c>
      <c r="DK13" s="419">
        <f t="shared" si="63"/>
        <v>0</v>
      </c>
      <c r="DM13" t="s">
        <v>223</v>
      </c>
      <c r="DN13" s="31">
        <f>SUM(DF11:DF18)</f>
        <v>221880.71801834306</v>
      </c>
      <c r="DO13" s="31">
        <f>SUM(DI11:DI18)</f>
        <v>224725.89697640287</v>
      </c>
      <c r="DP13">
        <f>SUM(DK11:DK18)</f>
        <v>196960.04722069486</v>
      </c>
      <c r="DS13" s="732" t="s">
        <v>305</v>
      </c>
      <c r="DT13" s="732">
        <v>618</v>
      </c>
      <c r="DU13" s="732">
        <v>127</v>
      </c>
      <c r="DV13" s="734">
        <v>0.21</v>
      </c>
      <c r="DW13" s="732">
        <v>19.5</v>
      </c>
      <c r="DX13" s="733">
        <v>7118</v>
      </c>
      <c r="DZ13" s="121">
        <f t="shared" si="2"/>
        <v>9.932497589199614E-2</v>
      </c>
      <c r="EA13" s="121">
        <f t="shared" si="2"/>
        <v>3.9937106918238992E-2</v>
      </c>
      <c r="EC13" s="31">
        <f>DX13*DT13/1000000</f>
        <v>4.3989240000000001</v>
      </c>
      <c r="ED13" s="121">
        <f t="shared" si="3"/>
        <v>1.0555793343766269E-3</v>
      </c>
      <c r="EG13" t="s">
        <v>334</v>
      </c>
      <c r="EH13" s="147">
        <f>ED23</f>
        <v>3.0214432401348766E-2</v>
      </c>
      <c r="EI13" s="31">
        <f t="shared" si="64"/>
        <v>32.955207463433133</v>
      </c>
      <c r="EJ13">
        <v>0</v>
      </c>
      <c r="EK13">
        <f t="shared" si="65"/>
        <v>0</v>
      </c>
      <c r="EL13">
        <v>0</v>
      </c>
      <c r="EM13">
        <f t="shared" si="66"/>
        <v>0</v>
      </c>
      <c r="EN13">
        <v>0</v>
      </c>
      <c r="EO13">
        <f t="shared" si="67"/>
        <v>0</v>
      </c>
      <c r="EP13">
        <v>70.9769741921898</v>
      </c>
      <c r="EQ13">
        <v>7.3169105356480999E-3</v>
      </c>
      <c r="ER13">
        <v>6.0998104818480998E-4</v>
      </c>
      <c r="ES13" s="31">
        <f t="shared" si="18"/>
        <v>0</v>
      </c>
      <c r="ET13" s="31">
        <f t="shared" si="19"/>
        <v>0</v>
      </c>
      <c r="EU13" s="31">
        <f t="shared" si="20"/>
        <v>0</v>
      </c>
      <c r="EV13" s="31">
        <f t="shared" si="21"/>
        <v>0</v>
      </c>
      <c r="EW13" s="655">
        <f t="shared" si="22"/>
        <v>0</v>
      </c>
      <c r="EX13">
        <v>2.34</v>
      </c>
      <c r="EY13">
        <f t="shared" si="23"/>
        <v>0</v>
      </c>
      <c r="EZ13" s="419">
        <f t="shared" si="68"/>
        <v>0</v>
      </c>
      <c r="FA13">
        <v>0</v>
      </c>
      <c r="FB13" s="419">
        <f t="shared" si="24"/>
        <v>0</v>
      </c>
      <c r="FD13" t="s">
        <v>223</v>
      </c>
      <c r="FE13" s="31">
        <f>SUM(EW11:EW18)</f>
        <v>197241.7370532557</v>
      </c>
      <c r="FF13" s="31">
        <f>SUM(EZ11:EZ18)</f>
        <v>201471.50310042503</v>
      </c>
      <c r="FG13">
        <f>SUM(FB11:FB18)</f>
        <v>170552.22206655284</v>
      </c>
      <c r="FJ13" s="635" t="s">
        <v>305</v>
      </c>
      <c r="FK13" s="628">
        <v>624</v>
      </c>
      <c r="FL13" s="628">
        <v>121</v>
      </c>
      <c r="FM13" s="627">
        <v>0.19</v>
      </c>
      <c r="FN13" s="628">
        <v>16.829999999999998</v>
      </c>
      <c r="FO13" s="636">
        <v>6144</v>
      </c>
      <c r="FQ13" s="121">
        <f t="shared" si="4"/>
        <v>0.10274987650255228</v>
      </c>
      <c r="FR13" s="121">
        <f t="shared" si="4"/>
        <v>4.1466758053461276E-2</v>
      </c>
      <c r="FT13" s="31">
        <f>FO13*FK13/1000000</f>
        <v>3.8338559999999999</v>
      </c>
      <c r="FU13" s="121">
        <f t="shared" si="5"/>
        <v>9.1998387891580686E-4</v>
      </c>
      <c r="FX13" t="s">
        <v>334</v>
      </c>
      <c r="FY13" s="147">
        <f>FU23</f>
        <v>1.768902332913011E-2</v>
      </c>
      <c r="FZ13" s="31">
        <f t="shared" si="25"/>
        <v>17.64133819185578</v>
      </c>
      <c r="GA13">
        <v>0</v>
      </c>
      <c r="GB13">
        <f t="shared" si="69"/>
        <v>0</v>
      </c>
      <c r="GC13">
        <v>0</v>
      </c>
      <c r="GD13">
        <f t="shared" si="70"/>
        <v>0</v>
      </c>
      <c r="GE13">
        <v>0</v>
      </c>
      <c r="GF13">
        <f t="shared" si="71"/>
        <v>0</v>
      </c>
      <c r="GG13">
        <v>0</v>
      </c>
      <c r="GH13">
        <v>0</v>
      </c>
      <c r="GI13">
        <v>0</v>
      </c>
      <c r="GJ13" s="31">
        <f t="shared" si="26"/>
        <v>0</v>
      </c>
      <c r="GK13" s="31">
        <f t="shared" si="27"/>
        <v>0</v>
      </c>
      <c r="GL13" s="31">
        <f t="shared" si="28"/>
        <v>0</v>
      </c>
      <c r="GM13" s="31">
        <f t="shared" si="29"/>
        <v>0</v>
      </c>
      <c r="GN13" s="655">
        <f t="shared" si="72"/>
        <v>0</v>
      </c>
      <c r="GO13">
        <v>2.34</v>
      </c>
      <c r="GP13">
        <f t="shared" si="30"/>
        <v>0</v>
      </c>
      <c r="GQ13" s="419">
        <f t="shared" si="73"/>
        <v>0</v>
      </c>
      <c r="GR13">
        <v>0</v>
      </c>
      <c r="GS13" s="419">
        <f t="shared" si="31"/>
        <v>0</v>
      </c>
      <c r="GU13" t="s">
        <v>223</v>
      </c>
      <c r="GV13" s="31">
        <f>SUM(GN11:GN18)</f>
        <v>182447.62542862695</v>
      </c>
      <c r="GW13" s="31">
        <f>SUM(GQ11:GQ18)</f>
        <v>183625.11010645403</v>
      </c>
      <c r="GX13">
        <f>SUM(GS11:GS18)</f>
        <v>157021.82266122394</v>
      </c>
      <c r="GZ13" s="116" t="s">
        <v>305</v>
      </c>
      <c r="HA13" s="119">
        <v>635</v>
      </c>
      <c r="HB13" s="119">
        <v>158</v>
      </c>
      <c r="HC13" s="118">
        <v>0.25</v>
      </c>
      <c r="HD13" s="119">
        <v>21.98</v>
      </c>
      <c r="HE13" s="158">
        <v>8021</v>
      </c>
      <c r="HG13" s="121">
        <f>HA13/HA27</f>
        <v>0.10786478681841345</v>
      </c>
      <c r="HH13" s="121">
        <f>HB13/HB27</f>
        <v>5.398018448923813E-2</v>
      </c>
      <c r="HJ13" s="31">
        <f t="shared" si="6"/>
        <v>5.0933349999999997</v>
      </c>
      <c r="HK13" s="121">
        <f t="shared" si="7"/>
        <v>1.1990726857023404E-3</v>
      </c>
      <c r="HN13" t="s">
        <v>391</v>
      </c>
      <c r="HO13" s="147">
        <f>HK23</f>
        <v>5.7102950084249225E-2</v>
      </c>
      <c r="HP13" s="31">
        <f t="shared" si="32"/>
        <v>63.422712402237003</v>
      </c>
      <c r="HQ13">
        <v>3</v>
      </c>
      <c r="HR13">
        <f t="shared" si="74"/>
        <v>0.03</v>
      </c>
      <c r="HS13">
        <v>0.75</v>
      </c>
      <c r="HT13">
        <f t="shared" si="75"/>
        <v>2.2499999999999999E-2</v>
      </c>
      <c r="HU13">
        <v>43</v>
      </c>
      <c r="HV13">
        <f t="shared" si="76"/>
        <v>0.96749999999999992</v>
      </c>
      <c r="HW13">
        <v>72.416541095972974</v>
      </c>
      <c r="HX13">
        <f>7.87852632644844/1000</f>
        <v>7.8785263264484397E-3</v>
      </c>
      <c r="HY13">
        <f>0.93521034397128/1000</f>
        <v>9.3521034397127997E-4</v>
      </c>
      <c r="HZ13" s="31">
        <f t="shared" si="33"/>
        <v>61.361474249164296</v>
      </c>
      <c r="IA13" s="31">
        <f t="shared" si="77"/>
        <v>4443.5857216740933</v>
      </c>
      <c r="IB13" s="31">
        <f t="shared" si="34"/>
        <v>0.4834379903017289</v>
      </c>
      <c r="IC13" s="31">
        <f t="shared" si="34"/>
        <v>5.738588543914578E-2</v>
      </c>
      <c r="ID13" s="655">
        <f t="shared" si="35"/>
        <v>4472.3292450439158</v>
      </c>
      <c r="IE13">
        <v>2.34</v>
      </c>
      <c r="IF13">
        <f t="shared" si="36"/>
        <v>4452274.4106370369</v>
      </c>
      <c r="IG13" s="419">
        <f t="shared" si="78"/>
        <v>4452.2744106370365</v>
      </c>
      <c r="IH13">
        <v>0</v>
      </c>
      <c r="II13" s="419">
        <f t="shared" si="37"/>
        <v>0</v>
      </c>
      <c r="IK13" t="s">
        <v>223</v>
      </c>
      <c r="IL13" s="31">
        <f>SUM(ID11:ID18)</f>
        <v>203536.7628924434</v>
      </c>
      <c r="IM13" s="31">
        <f>SUM(IG11:IG18)</f>
        <v>199073.11094862391</v>
      </c>
      <c r="IN13">
        <f>SUM(II11:II18)</f>
        <v>170311.25144236092</v>
      </c>
      <c r="IP13" s="635" t="s">
        <v>305</v>
      </c>
      <c r="IQ13" s="628">
        <v>642</v>
      </c>
      <c r="IR13" s="628">
        <v>137</v>
      </c>
      <c r="IS13" s="627">
        <v>0.21</v>
      </c>
      <c r="IT13" s="628">
        <v>16.7</v>
      </c>
      <c r="IU13" s="636">
        <v>6095</v>
      </c>
      <c r="IW13" s="121">
        <f>IQ13/IQ27</f>
        <v>0.11169102296450939</v>
      </c>
      <c r="IX13" s="121">
        <f>IR13/IR27</f>
        <v>4.9369369369369372E-2</v>
      </c>
      <c r="IZ13" s="31">
        <f t="shared" si="8"/>
        <v>3.9129900000000002</v>
      </c>
      <c r="JA13" s="121">
        <f t="shared" si="9"/>
        <v>9.2119592142013082E-4</v>
      </c>
      <c r="JD13" t="s">
        <v>391</v>
      </c>
      <c r="JE13" s="147">
        <f>JA23</f>
        <v>4.4497911810421918E-2</v>
      </c>
      <c r="JF13" s="31">
        <f t="shared" si="38"/>
        <v>48.880688756234001</v>
      </c>
      <c r="JG13">
        <v>3</v>
      </c>
      <c r="JH13">
        <f t="shared" si="79"/>
        <v>0.03</v>
      </c>
      <c r="JI13">
        <v>0.75</v>
      </c>
      <c r="JJ13">
        <f t="shared" si="80"/>
        <v>2.2499999999999999E-2</v>
      </c>
      <c r="JK13">
        <v>0</v>
      </c>
      <c r="JL13">
        <f t="shared" si="81"/>
        <v>0</v>
      </c>
      <c r="JM13">
        <v>72.416541095972974</v>
      </c>
      <c r="JN13">
        <f>7.87852632644844/1000</f>
        <v>7.8785263264484397E-3</v>
      </c>
      <c r="JO13">
        <f>0.93521034397128/1000</f>
        <v>9.3521034397127997E-4</v>
      </c>
      <c r="JP13" s="31">
        <f t="shared" si="39"/>
        <v>0</v>
      </c>
      <c r="JQ13" s="31">
        <f t="shared" si="82"/>
        <v>0</v>
      </c>
      <c r="JR13" s="31">
        <f t="shared" si="40"/>
        <v>0</v>
      </c>
      <c r="JS13" s="31">
        <f t="shared" si="40"/>
        <v>0</v>
      </c>
      <c r="JT13" s="655">
        <f t="shared" si="41"/>
        <v>0</v>
      </c>
      <c r="JU13">
        <v>2.34</v>
      </c>
      <c r="JV13">
        <f t="shared" si="42"/>
        <v>3431424.3506876267</v>
      </c>
      <c r="JW13" s="419">
        <f t="shared" si="83"/>
        <v>3431.4243506876269</v>
      </c>
      <c r="JX13">
        <v>0</v>
      </c>
      <c r="JY13" s="419">
        <f t="shared" si="43"/>
        <v>0</v>
      </c>
      <c r="KA13" t="s">
        <v>223</v>
      </c>
      <c r="KB13" s="31">
        <f>SUM(JT11:JT18)</f>
        <v>196846.13898451629</v>
      </c>
      <c r="KC13" s="31">
        <f>SUM(JW11:JW18)</f>
        <v>195814.11713511383</v>
      </c>
      <c r="KD13">
        <f>SUM(JY11:JY18)</f>
        <v>167902.60267331387</v>
      </c>
      <c r="KF13" t="s">
        <v>223</v>
      </c>
      <c r="KG13" s="31">
        <f>KB13/(1+$P$24)</f>
        <v>191476.65694556726</v>
      </c>
      <c r="KH13" s="31">
        <f t="shared" ref="KH13:KI13" si="85">KC13/(1+$P$24)</f>
        <v>190472.78613236372</v>
      </c>
      <c r="KI13" s="31">
        <f t="shared" si="85"/>
        <v>163322.62963448241</v>
      </c>
      <c r="KK13" t="s">
        <v>223</v>
      </c>
      <c r="KL13" s="31">
        <f>KG13/(1+$P$23)</f>
        <v>177288.72100304358</v>
      </c>
      <c r="KM13" s="31">
        <f t="shared" ref="KM13:KN13" si="86">KH13/(1+$P$23)</f>
        <v>176359.23447782325</v>
      </c>
      <c r="KN13" s="31">
        <f t="shared" si="86"/>
        <v>151220.83590054812</v>
      </c>
    </row>
    <row r="14" spans="1:300" ht="16.5" customHeight="1" thickBot="1" x14ac:dyDescent="0.8">
      <c r="A14" s="1161"/>
      <c r="B14" s="341" t="s">
        <v>306</v>
      </c>
      <c r="C14" s="342">
        <v>40771.075849776658</v>
      </c>
      <c r="D14" s="343">
        <v>40551</v>
      </c>
      <c r="E14" s="344">
        <v>37617</v>
      </c>
      <c r="F14" s="345">
        <v>118939.07584977665</v>
      </c>
      <c r="G14" s="382">
        <v>449064.38242838928</v>
      </c>
      <c r="H14" s="347"/>
      <c r="I14" s="339"/>
      <c r="J14" s="339"/>
      <c r="K14" s="339"/>
      <c r="L14" s="339"/>
      <c r="M14" s="503"/>
      <c r="T14">
        <f>R18/T18</f>
        <v>0.73642400000000008</v>
      </c>
      <c r="AG14" s="796" t="s">
        <v>308</v>
      </c>
      <c r="AH14" s="796">
        <v>14</v>
      </c>
      <c r="AI14" s="796">
        <v>5</v>
      </c>
      <c r="AJ14" s="797">
        <v>0.36</v>
      </c>
      <c r="AK14" s="796" t="s">
        <v>184</v>
      </c>
      <c r="AL14" s="804" t="s">
        <v>184</v>
      </c>
      <c r="AN14" s="121">
        <f t="shared" si="16"/>
        <v>1.7930327868852459E-3</v>
      </c>
      <c r="AO14" s="121">
        <f t="shared" si="10"/>
        <v>1.1649580615097856E-3</v>
      </c>
      <c r="AP14">
        <v>0</v>
      </c>
      <c r="AR14" s="121">
        <f t="shared" si="12"/>
        <v>0</v>
      </c>
      <c r="AU14" s="904" t="s">
        <v>703</v>
      </c>
      <c r="AV14" s="905">
        <f>AR28</f>
        <v>7.1411939578620138E-4</v>
      </c>
      <c r="AW14" s="906">
        <v>4</v>
      </c>
      <c r="AX14" s="903">
        <v>0</v>
      </c>
      <c r="AY14" s="903">
        <f>AX14/100</f>
        <v>0</v>
      </c>
      <c r="AZ14" s="903">
        <v>0</v>
      </c>
      <c r="BA14" s="903">
        <f>AZ14*AY14</f>
        <v>0</v>
      </c>
      <c r="BB14" s="903">
        <v>0</v>
      </c>
      <c r="BC14" s="903">
        <f t="shared" ref="BC14" si="87">BB14*BA14</f>
        <v>0</v>
      </c>
      <c r="BD14" s="903">
        <v>72.335002492541093</v>
      </c>
      <c r="BE14" s="903">
        <v>7.1637159556547196E-3</v>
      </c>
      <c r="BF14" s="903">
        <v>4.7891015874360001E-4</v>
      </c>
      <c r="BG14" s="906">
        <f t="shared" ref="BG14" si="88">BC14*AW14</f>
        <v>0</v>
      </c>
      <c r="BH14" s="906">
        <f t="shared" ref="BH14:BH29" si="89">$BG14*BD14</f>
        <v>0</v>
      </c>
      <c r="BI14" s="906">
        <f t="shared" si="49"/>
        <v>0</v>
      </c>
      <c r="BJ14" s="906">
        <f t="shared" si="17"/>
        <v>0</v>
      </c>
      <c r="BK14" s="907">
        <f>BH14+BI14*$DD$8+BJ14*$DE$8</f>
        <v>0</v>
      </c>
      <c r="BL14" s="903">
        <v>2.34</v>
      </c>
      <c r="BM14" s="903">
        <f t="shared" ref="BM14" si="90">BL14*AY14*AW14*1000000</f>
        <v>0</v>
      </c>
      <c r="BN14" s="908">
        <f t="shared" ref="BN14" si="91">BM14/1000</f>
        <v>0</v>
      </c>
      <c r="BO14" s="903">
        <v>0</v>
      </c>
      <c r="BP14" s="908">
        <f t="shared" ref="BP14" si="92">BO14/10^6*AW14*10^6</f>
        <v>0</v>
      </c>
      <c r="BQ14" s="908"/>
      <c r="BR14" s="419"/>
      <c r="BS14" t="s">
        <v>309</v>
      </c>
      <c r="BT14" s="31">
        <f>SUM(BK20:BK21)</f>
        <v>1898.7586478152255</v>
      </c>
      <c r="BU14" s="31">
        <f>SUM(BN20:BN21)</f>
        <v>1856.9554835675983</v>
      </c>
      <c r="BV14" s="31">
        <f>SUM(BP20:BP21)</f>
        <v>1835.7344482789872</v>
      </c>
      <c r="BW14" s="31"/>
      <c r="BZ14" s="419"/>
      <c r="CB14" s="796" t="s">
        <v>308</v>
      </c>
      <c r="CC14" s="796">
        <v>13</v>
      </c>
      <c r="CD14" s="796">
        <v>3</v>
      </c>
      <c r="CE14" s="797">
        <v>0.23</v>
      </c>
      <c r="CF14" s="796" t="s">
        <v>184</v>
      </c>
      <c r="CG14" s="804" t="s">
        <v>184</v>
      </c>
      <c r="CI14" s="121">
        <f t="shared" si="0"/>
        <v>1.7317170640735314E-3</v>
      </c>
      <c r="CJ14" s="121">
        <f t="shared" si="0"/>
        <v>7.5150300601202404E-4</v>
      </c>
      <c r="CL14" s="31">
        <v>0</v>
      </c>
      <c r="CM14" s="121">
        <f t="shared" si="1"/>
        <v>0</v>
      </c>
      <c r="CP14" t="s">
        <v>335</v>
      </c>
      <c r="CQ14" s="147">
        <f>CM24</f>
        <v>2.8317076453059319E-2</v>
      </c>
      <c r="CR14" s="31">
        <f t="shared" si="52"/>
        <v>38.210591716012011</v>
      </c>
      <c r="CS14">
        <v>3</v>
      </c>
      <c r="CT14">
        <f t="shared" si="53"/>
        <v>0.03</v>
      </c>
      <c r="CU14">
        <v>0.75</v>
      </c>
      <c r="CV14">
        <f t="shared" si="54"/>
        <v>2.2499999999999999E-2</v>
      </c>
      <c r="CW14">
        <v>44.3</v>
      </c>
      <c r="CX14">
        <f t="shared" si="55"/>
        <v>0.99674999999999991</v>
      </c>
      <c r="CY14">
        <v>70.9769741921898</v>
      </c>
      <c r="CZ14">
        <v>7.3169105356480999E-3</v>
      </c>
      <c r="DA14">
        <v>6.0998104818480998E-4</v>
      </c>
      <c r="DB14" s="31">
        <f t="shared" si="56"/>
        <v>38.086407292934972</v>
      </c>
      <c r="DC14" s="31">
        <f t="shared" si="57"/>
        <v>2703.2579475038747</v>
      </c>
      <c r="DD14" s="31">
        <f t="shared" si="58"/>
        <v>0.2786748347866605</v>
      </c>
      <c r="DE14" s="31">
        <f t="shared" si="59"/>
        <v>2.3231986642138065E-2</v>
      </c>
      <c r="DF14" s="655">
        <f t="shared" si="60"/>
        <v>2717.2173193380677</v>
      </c>
      <c r="DG14">
        <v>3.34</v>
      </c>
      <c r="DH14">
        <f t="shared" si="61"/>
        <v>3828701.2899444033</v>
      </c>
      <c r="DI14" s="419">
        <f t="shared" si="62"/>
        <v>3828.7012899444035</v>
      </c>
      <c r="DJ14">
        <v>138.4</v>
      </c>
      <c r="DK14" s="419">
        <f t="shared" si="63"/>
        <v>5288.3458934960627</v>
      </c>
      <c r="DM14" t="s">
        <v>309</v>
      </c>
      <c r="DN14" s="31">
        <f>SUM(DF19:DF20)</f>
        <v>2232.3578622149298</v>
      </c>
      <c r="DO14" s="31">
        <f>SUM(DI19:DI20)</f>
        <v>2168.0242386843302</v>
      </c>
      <c r="DP14" s="31">
        <f>SUM(DK19:DK20)</f>
        <v>2122.0099881726474</v>
      </c>
      <c r="DS14" s="735" t="s">
        <v>308</v>
      </c>
      <c r="DT14" s="735">
        <v>13</v>
      </c>
      <c r="DU14" s="735">
        <v>1</v>
      </c>
      <c r="DV14" s="736">
        <v>0.08</v>
      </c>
      <c r="DW14" s="735" t="s">
        <v>184</v>
      </c>
      <c r="DX14" s="735" t="s">
        <v>184</v>
      </c>
      <c r="DZ14" s="121">
        <f t="shared" si="2"/>
        <v>1.8055555555555555E-3</v>
      </c>
      <c r="EA14" s="121">
        <f t="shared" si="2"/>
        <v>2.8011204481792715E-4</v>
      </c>
      <c r="EC14" s="31">
        <v>0</v>
      </c>
      <c r="ED14" s="121">
        <f t="shared" si="3"/>
        <v>0</v>
      </c>
      <c r="EG14" t="s">
        <v>335</v>
      </c>
      <c r="EH14" s="147">
        <f t="shared" ref="EH14:EH15" si="93">ED24</f>
        <v>2.4851871956971548E-2</v>
      </c>
      <c r="EI14" s="31">
        <f t="shared" si="64"/>
        <v>27.106204919477936</v>
      </c>
      <c r="EJ14">
        <v>5</v>
      </c>
      <c r="EK14">
        <f t="shared" si="65"/>
        <v>0.05</v>
      </c>
      <c r="EL14">
        <v>0.75</v>
      </c>
      <c r="EM14">
        <f t="shared" si="66"/>
        <v>3.7500000000000006E-2</v>
      </c>
      <c r="EN14">
        <v>44.3</v>
      </c>
      <c r="EO14">
        <f t="shared" si="67"/>
        <v>1.6612500000000001</v>
      </c>
      <c r="EP14">
        <v>70.9769741921898</v>
      </c>
      <c r="EQ14">
        <v>7.3169105356480999E-3</v>
      </c>
      <c r="ER14">
        <v>6.0998104818480998E-4</v>
      </c>
      <c r="ES14" s="31">
        <f t="shared" si="18"/>
        <v>45.030182922482723</v>
      </c>
      <c r="ET14" s="31">
        <f>$ES14*EP14</f>
        <v>3196.1061311586423</v>
      </c>
      <c r="EU14" s="31">
        <f t="shared" si="20"/>
        <v>0.32948181984767499</v>
      </c>
      <c r="EV14" s="31">
        <f t="shared" si="21"/>
        <v>2.7467558179009741E-2</v>
      </c>
      <c r="EW14" s="655">
        <f t="shared" si="22"/>
        <v>3212.6105250318151</v>
      </c>
      <c r="EX14">
        <v>3.34</v>
      </c>
      <c r="EY14">
        <f t="shared" si="23"/>
        <v>4526736.2215528153</v>
      </c>
      <c r="EZ14" s="419">
        <f t="shared" si="68"/>
        <v>4526.7362215528156</v>
      </c>
      <c r="FA14">
        <v>138.4</v>
      </c>
      <c r="FB14" s="419">
        <f t="shared" si="24"/>
        <v>3751.4987608557462</v>
      </c>
      <c r="FD14" t="s">
        <v>309</v>
      </c>
      <c r="FE14" s="31">
        <f>SUM(EW19:EW20)</f>
        <v>1415.3307626296166</v>
      </c>
      <c r="FF14" s="31">
        <f>SUM(EZ19:EZ20)</f>
        <v>1375.4142514884459</v>
      </c>
      <c r="FG14" s="31">
        <f>SUM(FB19:FB20)</f>
        <v>1356.0051122207658</v>
      </c>
      <c r="FJ14" s="637" t="s">
        <v>308</v>
      </c>
      <c r="FK14" s="629">
        <v>13</v>
      </c>
      <c r="FL14" s="629">
        <v>1</v>
      </c>
      <c r="FM14" s="630">
        <v>0.08</v>
      </c>
      <c r="FN14" s="629" t="s">
        <v>184</v>
      </c>
      <c r="FO14" s="639" t="s">
        <v>184</v>
      </c>
      <c r="FQ14" s="121">
        <f t="shared" si="4"/>
        <v>1.8465909090909091E-3</v>
      </c>
      <c r="FR14" s="121">
        <f t="shared" si="4"/>
        <v>2.8951939779965256E-4</v>
      </c>
      <c r="FT14" s="31">
        <v>0</v>
      </c>
      <c r="FU14" s="121">
        <f t="shared" si="5"/>
        <v>0</v>
      </c>
      <c r="FX14" t="s">
        <v>335</v>
      </c>
      <c r="FY14" s="147">
        <f t="shared" ref="FY14:FY15" si="94">FU24</f>
        <v>1.9460266621831587E-2</v>
      </c>
      <c r="FZ14" s="31">
        <f t="shared" si="25"/>
        <v>19.407806660193742</v>
      </c>
      <c r="GA14">
        <v>5</v>
      </c>
      <c r="GB14">
        <f t="shared" ref="GB14:GB17" si="95">GA14/100</f>
        <v>0.05</v>
      </c>
      <c r="GC14">
        <v>0.75</v>
      </c>
      <c r="GD14">
        <f t="shared" ref="GD14:GD17" si="96">GC14*GB14</f>
        <v>3.7500000000000006E-2</v>
      </c>
      <c r="GE14">
        <v>44.3</v>
      </c>
      <c r="GF14">
        <f t="shared" ref="GF14:GF17" si="97">GE14*GD14</f>
        <v>1.6612500000000001</v>
      </c>
      <c r="GG14">
        <v>72.416541095972974</v>
      </c>
      <c r="GH14">
        <f>7.87852632644844/1000</f>
        <v>7.8785263264484397E-3</v>
      </c>
      <c r="GI14">
        <f>0.93521034397128/1000</f>
        <v>9.3521034397127997E-4</v>
      </c>
      <c r="GJ14" s="31">
        <f t="shared" si="26"/>
        <v>32.241218814246857</v>
      </c>
      <c r="GK14" s="31">
        <f t="shared" si="27"/>
        <v>2334.7975472461644</v>
      </c>
      <c r="GL14" s="31">
        <f t="shared" si="28"/>
        <v>0.25401329122482863</v>
      </c>
      <c r="GM14" s="31">
        <f t="shared" si="29"/>
        <v>3.0152321337325105E-2</v>
      </c>
      <c r="GN14" s="655">
        <f t="shared" si="72"/>
        <v>2349.9002845548507</v>
      </c>
      <c r="GO14">
        <v>3.34</v>
      </c>
      <c r="GP14">
        <f t="shared" si="30"/>
        <v>3241103.7122523552</v>
      </c>
      <c r="GQ14" s="419">
        <f t="shared" ref="GQ14:GQ17" si="98">GP14/1000</f>
        <v>3241.1037122523553</v>
      </c>
      <c r="GR14">
        <v>138.4</v>
      </c>
      <c r="GS14" s="419">
        <f t="shared" si="31"/>
        <v>2686.0404417708141</v>
      </c>
      <c r="GU14" t="s">
        <v>309</v>
      </c>
      <c r="GV14" s="31">
        <f>SUM(GN19:GN20)</f>
        <v>1688.3542448813723</v>
      </c>
      <c r="GW14" s="31">
        <f>SUM(GQ19:GQ20)</f>
        <v>1654.3827848703672</v>
      </c>
      <c r="GX14" s="31">
        <f>SUM(GS19:GS20)</f>
        <v>1621.3871866766622</v>
      </c>
      <c r="GZ14" s="133" t="s">
        <v>308</v>
      </c>
      <c r="HA14" s="134">
        <v>13</v>
      </c>
      <c r="HB14" s="134">
        <v>0</v>
      </c>
      <c r="HC14" s="135">
        <v>0</v>
      </c>
      <c r="HD14" s="134">
        <v>0</v>
      </c>
      <c r="HE14" s="159">
        <v>0</v>
      </c>
      <c r="HG14" s="121">
        <f>HA14/HA28</f>
        <v>1.8675477661255567E-3</v>
      </c>
      <c r="HH14" s="121">
        <f>HB14/HB28</f>
        <v>0</v>
      </c>
      <c r="HJ14" s="31">
        <f t="shared" si="6"/>
        <v>0</v>
      </c>
      <c r="HK14" s="121">
        <f t="shared" si="7"/>
        <v>0</v>
      </c>
      <c r="HN14" t="s">
        <v>335</v>
      </c>
      <c r="HO14" s="147">
        <v>0</v>
      </c>
      <c r="HP14" s="31">
        <f t="shared" si="32"/>
        <v>0</v>
      </c>
      <c r="HQ14">
        <v>3</v>
      </c>
      <c r="HR14">
        <f t="shared" si="74"/>
        <v>0.03</v>
      </c>
      <c r="HS14">
        <v>0.75</v>
      </c>
      <c r="HT14">
        <f t="shared" si="75"/>
        <v>2.2499999999999999E-2</v>
      </c>
      <c r="HU14">
        <v>44.3</v>
      </c>
      <c r="HV14">
        <f t="shared" si="76"/>
        <v>0.99674999999999991</v>
      </c>
      <c r="HW14">
        <v>73.416541095973002</v>
      </c>
      <c r="HX14">
        <f t="shared" ref="HX14:HX17" si="99">7.87852632644844/1000</f>
        <v>7.8785263264484397E-3</v>
      </c>
      <c r="HY14">
        <f t="shared" ref="HY14:HY17" si="100">0.93521034397128/1000</f>
        <v>9.3521034397127997E-4</v>
      </c>
      <c r="HZ14" s="31">
        <f t="shared" si="33"/>
        <v>0</v>
      </c>
      <c r="IA14" s="31">
        <f t="shared" si="77"/>
        <v>0</v>
      </c>
      <c r="IB14" s="31">
        <f t="shared" si="34"/>
        <v>0</v>
      </c>
      <c r="IC14" s="31">
        <f t="shared" si="34"/>
        <v>0</v>
      </c>
      <c r="ID14" s="655">
        <f t="shared" si="35"/>
        <v>0</v>
      </c>
      <c r="IE14">
        <v>3.34</v>
      </c>
      <c r="IF14">
        <f t="shared" si="36"/>
        <v>0</v>
      </c>
      <c r="IG14" s="419">
        <f t="shared" si="78"/>
        <v>0</v>
      </c>
      <c r="IH14">
        <v>138.4</v>
      </c>
      <c r="II14" s="419">
        <f t="shared" si="37"/>
        <v>0</v>
      </c>
      <c r="IK14" t="s">
        <v>309</v>
      </c>
      <c r="IL14" s="31">
        <f>SUM(ID19:ID20)</f>
        <v>2335.0810645946281</v>
      </c>
      <c r="IM14" s="31">
        <f>SUM(IG19:IG20)</f>
        <v>2322.717087092476</v>
      </c>
      <c r="IN14" s="31">
        <f>SUM(II19:II20)</f>
        <v>2277.5192034821457</v>
      </c>
      <c r="IP14" s="637" t="s">
        <v>308</v>
      </c>
      <c r="IQ14" s="629">
        <v>12</v>
      </c>
      <c r="IR14" s="629">
        <v>2</v>
      </c>
      <c r="IS14" s="630">
        <v>0.17</v>
      </c>
      <c r="IT14" s="629">
        <v>3.46</v>
      </c>
      <c r="IU14" s="638">
        <v>1263</v>
      </c>
      <c r="IW14" s="121">
        <f>IQ14/IQ28</f>
        <v>1.7817371937639199E-3</v>
      </c>
      <c r="IX14" s="121">
        <f>IR14/IR28</f>
        <v>6.1862047633776682E-4</v>
      </c>
      <c r="IZ14" s="31">
        <f t="shared" si="8"/>
        <v>1.5155999999999999E-2</v>
      </c>
      <c r="JA14" s="121">
        <f t="shared" si="9"/>
        <v>3.5680248058501302E-6</v>
      </c>
      <c r="JD14" t="s">
        <v>335</v>
      </c>
      <c r="JE14" s="147">
        <v>0</v>
      </c>
      <c r="JF14" s="31">
        <f t="shared" si="38"/>
        <v>0</v>
      </c>
      <c r="JG14">
        <v>3</v>
      </c>
      <c r="JH14">
        <f t="shared" si="79"/>
        <v>0.03</v>
      </c>
      <c r="JI14">
        <v>0.75</v>
      </c>
      <c r="JJ14">
        <f t="shared" si="80"/>
        <v>2.2499999999999999E-2</v>
      </c>
      <c r="JK14">
        <v>44.3</v>
      </c>
      <c r="JL14">
        <f t="shared" si="81"/>
        <v>0.99674999999999991</v>
      </c>
      <c r="JM14">
        <v>73.416541095973002</v>
      </c>
      <c r="JN14">
        <f t="shared" ref="JN14:JN17" si="101">7.87852632644844/1000</f>
        <v>7.8785263264484397E-3</v>
      </c>
      <c r="JO14">
        <f t="shared" ref="JO14:JO17" si="102">0.93521034397128/1000</f>
        <v>9.3521034397127997E-4</v>
      </c>
      <c r="JP14" s="31">
        <f t="shared" si="39"/>
        <v>0</v>
      </c>
      <c r="JQ14" s="31">
        <f t="shared" si="82"/>
        <v>0</v>
      </c>
      <c r="JR14" s="31">
        <f t="shared" si="40"/>
        <v>0</v>
      </c>
      <c r="JS14" s="31">
        <f t="shared" si="40"/>
        <v>0</v>
      </c>
      <c r="JT14" s="655">
        <f t="shared" si="41"/>
        <v>0</v>
      </c>
      <c r="JU14">
        <v>3.34</v>
      </c>
      <c r="JV14">
        <f t="shared" si="42"/>
        <v>0</v>
      </c>
      <c r="JW14" s="419">
        <f t="shared" si="83"/>
        <v>0</v>
      </c>
      <c r="JX14">
        <v>137</v>
      </c>
      <c r="JY14" s="419">
        <f t="shared" si="43"/>
        <v>0</v>
      </c>
      <c r="KA14" t="s">
        <v>309</v>
      </c>
      <c r="KB14" s="31">
        <f>SUM(JT19:JT20)</f>
        <v>2456.9511327117598</v>
      </c>
      <c r="KC14" s="31">
        <f>SUM(JW19:JW20)</f>
        <v>2444.4439113956973</v>
      </c>
      <c r="KD14" s="31">
        <f>SUM(JY19:JY20)</f>
        <v>2393.3170028492759</v>
      </c>
      <c r="KF14" t="s">
        <v>309</v>
      </c>
      <c r="KG14" s="31">
        <f t="shared" ref="KG14:KG18" si="103">KB14/(1+$P$24)</f>
        <v>2389.931504865724</v>
      </c>
      <c r="KH14" s="31">
        <f t="shared" ref="KH14:KH18" si="104">KC14/(1+$P$24)</f>
        <v>2377.7654500087056</v>
      </c>
      <c r="KI14" s="31">
        <f t="shared" ref="KI14:KI18" si="105">KD14/(1+$P$24)</f>
        <v>2328.03315869259</v>
      </c>
      <c r="KK14" t="s">
        <v>309</v>
      </c>
      <c r="KL14" s="31">
        <f t="shared" ref="KL14:KL18" si="106">KG14/(1+$P$23)</f>
        <v>2212.8436256487107</v>
      </c>
      <c r="KM14" s="31">
        <f t="shared" ref="KM14:KM18" si="107">KH14/(1+$P$23)</f>
        <v>2201.5790446827559</v>
      </c>
      <c r="KN14" s="31">
        <f t="shared" ref="KN14:KN18" si="108">KI14/(1+$P$23)</f>
        <v>2155.531790356129</v>
      </c>
    </row>
    <row r="15" spans="1:300" ht="16.5" customHeight="1" thickBot="1" x14ac:dyDescent="0.8">
      <c r="A15" s="1161"/>
      <c r="B15" s="341" t="s">
        <v>310</v>
      </c>
      <c r="C15" s="342">
        <v>40229</v>
      </c>
      <c r="D15" s="343">
        <v>40965</v>
      </c>
      <c r="E15" s="344">
        <v>39578</v>
      </c>
      <c r="F15" s="383">
        <v>120772</v>
      </c>
      <c r="G15" s="382">
        <v>569836.38242838928</v>
      </c>
      <c r="H15" s="347"/>
      <c r="I15" s="339"/>
      <c r="J15" s="339"/>
      <c r="K15" s="339"/>
      <c r="L15" s="339"/>
      <c r="M15" s="503"/>
      <c r="O15" s="837">
        <v>2019</v>
      </c>
      <c r="R15">
        <f>U25/R25</f>
        <v>0.88264369439344714</v>
      </c>
      <c r="W15" t="s">
        <v>943</v>
      </c>
      <c r="AG15" s="1220" t="s">
        <v>312</v>
      </c>
      <c r="AH15" s="1221"/>
      <c r="AI15" s="1221"/>
      <c r="AJ15" s="1221"/>
      <c r="AK15" s="1221"/>
      <c r="AL15" s="1222"/>
      <c r="AM15" s="32">
        <f>SUM(AH9:AH14)</f>
        <v>147513</v>
      </c>
      <c r="AP15">
        <f t="shared" si="11"/>
        <v>0</v>
      </c>
      <c r="AR15" s="121">
        <f t="shared" si="12"/>
        <v>0</v>
      </c>
      <c r="AU15" t="s">
        <v>335</v>
      </c>
      <c r="AV15" s="147">
        <f>AR24</f>
        <v>3.6989939078835465E-2</v>
      </c>
      <c r="AW15" s="31">
        <f t="shared" si="44"/>
        <v>52.209634188063369</v>
      </c>
      <c r="AX15">
        <v>3</v>
      </c>
      <c r="AY15">
        <f t="shared" si="45"/>
        <v>0.03</v>
      </c>
      <c r="AZ15">
        <v>0.75</v>
      </c>
      <c r="BA15">
        <f t="shared" si="46"/>
        <v>2.2499999999999999E-2</v>
      </c>
      <c r="BB15">
        <v>44.3</v>
      </c>
      <c r="BC15">
        <f t="shared" si="47"/>
        <v>0.99674999999999991</v>
      </c>
      <c r="BD15">
        <v>72.335002492541093</v>
      </c>
      <c r="BE15">
        <v>7.1637159556547196E-3</v>
      </c>
      <c r="BF15">
        <v>4.7891015874360001E-4</v>
      </c>
      <c r="BG15" s="31">
        <f t="shared" si="48"/>
        <v>52.039952876952157</v>
      </c>
      <c r="BH15" s="31">
        <f t="shared" si="89"/>
        <v>3764.3101210660552</v>
      </c>
      <c r="BI15" s="31">
        <f t="shared" si="49"/>
        <v>0.37279944075614191</v>
      </c>
      <c r="BJ15" s="31">
        <f t="shared" si="17"/>
        <v>2.4922462093310623E-2</v>
      </c>
      <c r="BK15" s="655">
        <f t="shared" ref="BK15:BK29" si="109">BH15+BI15*$DD$8+BJ15*$DE$8</f>
        <v>3781.3529578619546</v>
      </c>
      <c r="BL15">
        <v>3.34</v>
      </c>
      <c r="BM15">
        <f t="shared" si="84"/>
        <v>5231405.3456439497</v>
      </c>
      <c r="BN15" s="419">
        <f t="shared" si="50"/>
        <v>5231.4053456439497</v>
      </c>
      <c r="BO15">
        <v>138.4</v>
      </c>
      <c r="BP15" s="419">
        <f t="shared" si="51"/>
        <v>7225.8133716279708</v>
      </c>
      <c r="BQ15" s="419"/>
      <c r="BR15" s="419"/>
      <c r="BS15" t="s">
        <v>318</v>
      </c>
      <c r="BT15" s="31">
        <f>SUM(BK22:BK23)</f>
        <v>49756.932527613331</v>
      </c>
      <c r="BU15" s="31">
        <f>SUM(BN22:BN23)</f>
        <v>48790.658780029742</v>
      </c>
      <c r="BV15" s="31">
        <f>SUM(BP22:BP23)</f>
        <v>34530.934920319603</v>
      </c>
      <c r="BW15" s="31"/>
      <c r="BZ15" s="419"/>
      <c r="CB15" s="1220" t="s">
        <v>312</v>
      </c>
      <c r="CC15" s="1221"/>
      <c r="CD15" s="1221"/>
      <c r="CE15" s="1221"/>
      <c r="CF15" s="1221"/>
      <c r="CG15" s="1222"/>
      <c r="CH15" s="32">
        <f>SUM(CG9:CG14)</f>
        <v>39811</v>
      </c>
      <c r="CL15" s="31">
        <f t="shared" ref="CL15:CL22" si="110">CG15*CC15/1000000</f>
        <v>0</v>
      </c>
      <c r="CM15" s="121">
        <f t="shared" si="1"/>
        <v>0</v>
      </c>
      <c r="CP15" t="s">
        <v>336</v>
      </c>
      <c r="CQ15" s="147">
        <f>CM25</f>
        <v>6.062514316659301E-2</v>
      </c>
      <c r="CR15" s="31">
        <f t="shared" si="52"/>
        <v>81.806559271876694</v>
      </c>
      <c r="CS15">
        <v>3</v>
      </c>
      <c r="CT15">
        <f t="shared" si="53"/>
        <v>0.03</v>
      </c>
      <c r="CU15">
        <v>0.75</v>
      </c>
      <c r="CV15">
        <f t="shared" si="54"/>
        <v>2.2499999999999999E-2</v>
      </c>
      <c r="CW15">
        <v>44.3</v>
      </c>
      <c r="CX15">
        <f t="shared" si="55"/>
        <v>0.99674999999999991</v>
      </c>
      <c r="CY15">
        <v>70.9769741921898</v>
      </c>
      <c r="CZ15">
        <v>7.3169105356480999E-3</v>
      </c>
      <c r="DA15">
        <v>6.0998104818480998E-4</v>
      </c>
      <c r="DB15" s="31">
        <f t="shared" si="56"/>
        <v>81.540687954243083</v>
      </c>
      <c r="DC15" s="31">
        <f>$DB15*CY15</f>
        <v>5787.5113045417129</v>
      </c>
      <c r="DD15" s="31">
        <f t="shared" si="58"/>
        <v>0.59662591877639537</v>
      </c>
      <c r="DE15" s="31">
        <f t="shared" si="59"/>
        <v>4.9738274308039704E-2</v>
      </c>
      <c r="DF15" s="655">
        <f t="shared" si="60"/>
        <v>5817.3974729590827</v>
      </c>
      <c r="DG15">
        <v>4.34</v>
      </c>
      <c r="DH15">
        <f t="shared" si="61"/>
        <v>10651214.017198343</v>
      </c>
      <c r="DI15" s="419">
        <f t="shared" si="62"/>
        <v>10651.214017198343</v>
      </c>
      <c r="DJ15">
        <v>138.4</v>
      </c>
      <c r="DK15" s="419">
        <f t="shared" si="63"/>
        <v>11322.027803227735</v>
      </c>
      <c r="DM15" t="s">
        <v>318</v>
      </c>
      <c r="DN15" s="31">
        <f>SUM(DF21:DF22)</f>
        <v>45108.271378307647</v>
      </c>
      <c r="DO15" s="31">
        <f>SUM(DI21:DI22)</f>
        <v>44180.535098723063</v>
      </c>
      <c r="DP15" s="31">
        <f>SUM(DK21:DK22)</f>
        <v>31358.67885559073</v>
      </c>
      <c r="DS15" s="1167" t="s">
        <v>312</v>
      </c>
      <c r="DT15" s="1167"/>
      <c r="DU15" s="1167"/>
      <c r="DV15" s="1167"/>
      <c r="DW15" s="1167"/>
      <c r="DX15" s="1167"/>
      <c r="DY15" s="32">
        <f>SUM(DX9:DX14)</f>
        <v>43253</v>
      </c>
      <c r="EC15" s="31">
        <f t="shared" ref="EC15:EC24" si="111">DX15*DT15/1000000</f>
        <v>0</v>
      </c>
      <c r="ED15" s="121">
        <f t="shared" si="3"/>
        <v>0</v>
      </c>
      <c r="EG15" t="s">
        <v>336</v>
      </c>
      <c r="EH15" s="147">
        <f t="shared" si="93"/>
        <v>5.1461166293316048E-2</v>
      </c>
      <c r="EI15" s="31">
        <f t="shared" si="64"/>
        <v>56.129249392444571</v>
      </c>
      <c r="EJ15">
        <v>5</v>
      </c>
      <c r="EK15">
        <f t="shared" si="65"/>
        <v>0.05</v>
      </c>
      <c r="EL15">
        <v>0.75</v>
      </c>
      <c r="EM15">
        <f t="shared" si="66"/>
        <v>3.7500000000000006E-2</v>
      </c>
      <c r="EN15">
        <v>44.3</v>
      </c>
      <c r="EO15">
        <f t="shared" si="67"/>
        <v>1.6612500000000001</v>
      </c>
      <c r="EP15">
        <v>70.9769741921898</v>
      </c>
      <c r="EQ15">
        <v>7.3169105356480999E-3</v>
      </c>
      <c r="ER15">
        <v>6.0998104818480998E-4</v>
      </c>
      <c r="ES15" s="31">
        <f t="shared" si="18"/>
        <v>93.244715553198546</v>
      </c>
      <c r="ET15" s="31">
        <f t="shared" si="19"/>
        <v>6618.2277693774522</v>
      </c>
      <c r="EU15" s="31">
        <f>$ES15*EQ15</f>
        <v>0.68226324162470864</v>
      </c>
      <c r="EV15" s="31">
        <f>$ES15*ER15</f>
        <v>5.6877509330834505E-2</v>
      </c>
      <c r="EW15" s="655">
        <f t="shared" si="22"/>
        <v>6652.4036801156144</v>
      </c>
      <c r="EX15">
        <v>4.34</v>
      </c>
      <c r="EY15">
        <f t="shared" si="23"/>
        <v>12180047.118160471</v>
      </c>
      <c r="EZ15" s="419">
        <f t="shared" si="68"/>
        <v>12180.047118160472</v>
      </c>
      <c r="FA15">
        <v>138.4</v>
      </c>
      <c r="FB15" s="419">
        <f t="shared" si="24"/>
        <v>7768.288115914328</v>
      </c>
      <c r="FD15" t="s">
        <v>318</v>
      </c>
      <c r="FE15" s="31">
        <f>SUM(EW21:EW22)</f>
        <v>35552.7643617832</v>
      </c>
      <c r="FF15" s="31">
        <f>SUM(EZ21:EZ22)</f>
        <v>34824.501358152615</v>
      </c>
      <c r="FG15" s="31">
        <f>SUM(FB21:FB22)</f>
        <v>24814.161658573164</v>
      </c>
      <c r="FJ15" s="648" t="s">
        <v>312</v>
      </c>
      <c r="FK15" s="649"/>
      <c r="FL15" s="649"/>
      <c r="FM15" s="649"/>
      <c r="FN15" s="649"/>
      <c r="FO15" s="650"/>
      <c r="FP15" s="32">
        <f>SUM(FO9:FO14)</f>
        <v>42302</v>
      </c>
      <c r="FT15" s="31">
        <f t="shared" ref="FT15:FT25" si="112">FO15*FK15/1000000</f>
        <v>0</v>
      </c>
      <c r="FU15" s="121">
        <f t="shared" si="5"/>
        <v>0</v>
      </c>
      <c r="FX15" t="s">
        <v>336</v>
      </c>
      <c r="FY15" s="147">
        <f t="shared" si="94"/>
        <v>3.8165633882624714E-2</v>
      </c>
      <c r="FZ15" s="31">
        <f t="shared" si="25"/>
        <v>38.062748977280179</v>
      </c>
      <c r="GA15">
        <v>5</v>
      </c>
      <c r="GB15">
        <f t="shared" si="95"/>
        <v>0.05</v>
      </c>
      <c r="GC15">
        <v>0.75</v>
      </c>
      <c r="GD15">
        <f t="shared" si="96"/>
        <v>3.7500000000000006E-2</v>
      </c>
      <c r="GE15">
        <v>44.3</v>
      </c>
      <c r="GF15">
        <f t="shared" si="97"/>
        <v>1.6612500000000001</v>
      </c>
      <c r="GG15">
        <v>72.416541095972974</v>
      </c>
      <c r="GH15">
        <f>7.87852632644844/1000</f>
        <v>7.8785263264484397E-3</v>
      </c>
      <c r="GI15">
        <f>0.93521034397128/1000</f>
        <v>9.3521034397127997E-4</v>
      </c>
      <c r="GJ15" s="31">
        <f t="shared" si="26"/>
        <v>63.231741738506706</v>
      </c>
      <c r="GK15" s="31">
        <f t="shared" si="27"/>
        <v>4579.0240241765205</v>
      </c>
      <c r="GL15" s="31">
        <f t="shared" si="28"/>
        <v>0.49817294195401374</v>
      </c>
      <c r="GM15" s="31">
        <f t="shared" si="29"/>
        <v>5.9134978941171999E-2</v>
      </c>
      <c r="GN15" s="655">
        <f t="shared" si="72"/>
        <v>4608.6436359706431</v>
      </c>
      <c r="GO15">
        <v>4.34</v>
      </c>
      <c r="GP15">
        <f t="shared" si="30"/>
        <v>8259616.5280697988</v>
      </c>
      <c r="GQ15" s="419">
        <f t="shared" si="98"/>
        <v>8259.6165280697987</v>
      </c>
      <c r="GR15">
        <v>138.4</v>
      </c>
      <c r="GS15" s="419">
        <f t="shared" si="31"/>
        <v>5267.8844584555773</v>
      </c>
      <c r="GU15" t="s">
        <v>318</v>
      </c>
      <c r="GV15" s="31">
        <f>SUM(GN21:GN22)</f>
        <v>31648.851260685784</v>
      </c>
      <c r="GW15" s="31">
        <f>SUM(GQ21:GQ22)</f>
        <v>31168.115013697836</v>
      </c>
      <c r="GX15" s="31">
        <f>SUM(GS21:GS22)</f>
        <v>22302.500087621451</v>
      </c>
      <c r="GZ15" s="1083" t="s">
        <v>312</v>
      </c>
      <c r="HA15" s="1084"/>
      <c r="HB15" s="1084"/>
      <c r="HC15" s="1084"/>
      <c r="HD15" s="1084"/>
      <c r="HE15" s="1085"/>
      <c r="HF15" s="32">
        <f>SUM(HE9:HE14)</f>
        <v>68289</v>
      </c>
      <c r="HJ15" s="31">
        <f t="shared" si="6"/>
        <v>0</v>
      </c>
      <c r="HK15" s="121">
        <f t="shared" si="7"/>
        <v>0</v>
      </c>
      <c r="HN15" t="s">
        <v>336</v>
      </c>
      <c r="HO15" s="147">
        <v>0</v>
      </c>
      <c r="HP15" s="31">
        <f t="shared" si="32"/>
        <v>0</v>
      </c>
      <c r="HQ15">
        <v>3</v>
      </c>
      <c r="HR15">
        <f t="shared" si="74"/>
        <v>0.03</v>
      </c>
      <c r="HS15">
        <v>0.75</v>
      </c>
      <c r="HT15">
        <f t="shared" si="75"/>
        <v>2.2499999999999999E-2</v>
      </c>
      <c r="HU15">
        <v>44.3</v>
      </c>
      <c r="HV15">
        <f t="shared" si="76"/>
        <v>0.99674999999999991</v>
      </c>
      <c r="HW15">
        <v>74.416541095973002</v>
      </c>
      <c r="HX15">
        <f t="shared" si="99"/>
        <v>7.8785263264484397E-3</v>
      </c>
      <c r="HY15">
        <f t="shared" si="100"/>
        <v>9.3521034397127997E-4</v>
      </c>
      <c r="HZ15" s="31">
        <f t="shared" si="33"/>
        <v>0</v>
      </c>
      <c r="IA15" s="31">
        <f t="shared" si="77"/>
        <v>0</v>
      </c>
      <c r="IB15" s="31">
        <f t="shared" si="34"/>
        <v>0</v>
      </c>
      <c r="IC15" s="31">
        <f t="shared" si="34"/>
        <v>0</v>
      </c>
      <c r="ID15" s="655">
        <f t="shared" si="35"/>
        <v>0</v>
      </c>
      <c r="IE15">
        <v>4.34</v>
      </c>
      <c r="IF15">
        <f t="shared" si="36"/>
        <v>0</v>
      </c>
      <c r="IG15" s="419">
        <f t="shared" si="78"/>
        <v>0</v>
      </c>
      <c r="IH15">
        <v>138.4</v>
      </c>
      <c r="II15" s="419">
        <f t="shared" si="37"/>
        <v>0</v>
      </c>
      <c r="IK15" t="s">
        <v>318</v>
      </c>
      <c r="IL15" s="31">
        <f>SUM(ID21:ID22)</f>
        <v>34759.824216047215</v>
      </c>
      <c r="IM15" s="31">
        <f>SUM(IG21:IG22)</f>
        <v>34256.598762372421</v>
      </c>
      <c r="IN15" s="31">
        <f>SUM(II21:II22)</f>
        <v>24618.188678312457</v>
      </c>
      <c r="IP15" s="1189" t="s">
        <v>312</v>
      </c>
      <c r="IQ15" s="1190"/>
      <c r="IR15" s="1190"/>
      <c r="IS15" s="1190"/>
      <c r="IT15" s="1190"/>
      <c r="IU15" s="1191"/>
      <c r="IV15" s="32">
        <f>SUM(IU9:IU14)</f>
        <v>67784</v>
      </c>
      <c r="IZ15" s="31">
        <f t="shared" si="8"/>
        <v>0</v>
      </c>
      <c r="JA15" s="121">
        <f t="shared" si="9"/>
        <v>0</v>
      </c>
      <c r="JD15" t="s">
        <v>336</v>
      </c>
      <c r="JE15" s="147">
        <v>0</v>
      </c>
      <c r="JF15" s="31">
        <f t="shared" si="38"/>
        <v>0</v>
      </c>
      <c r="JG15">
        <v>3</v>
      </c>
      <c r="JH15">
        <f t="shared" si="79"/>
        <v>0.03</v>
      </c>
      <c r="JI15">
        <v>0.75</v>
      </c>
      <c r="JJ15">
        <f t="shared" si="80"/>
        <v>2.2499999999999999E-2</v>
      </c>
      <c r="JK15">
        <v>44.3</v>
      </c>
      <c r="JL15">
        <f t="shared" si="81"/>
        <v>0.99674999999999991</v>
      </c>
      <c r="JM15">
        <v>74.416541095973002</v>
      </c>
      <c r="JN15">
        <f t="shared" si="101"/>
        <v>7.8785263264484397E-3</v>
      </c>
      <c r="JO15">
        <f t="shared" si="102"/>
        <v>9.3521034397127997E-4</v>
      </c>
      <c r="JP15" s="31">
        <f t="shared" si="39"/>
        <v>0</v>
      </c>
      <c r="JQ15" s="31">
        <f t="shared" si="82"/>
        <v>0</v>
      </c>
      <c r="JR15" s="31">
        <f t="shared" si="40"/>
        <v>0</v>
      </c>
      <c r="JS15" s="31">
        <f t="shared" si="40"/>
        <v>0</v>
      </c>
      <c r="JT15" s="655">
        <f t="shared" si="41"/>
        <v>0</v>
      </c>
      <c r="JU15">
        <v>4.34</v>
      </c>
      <c r="JV15">
        <f t="shared" si="42"/>
        <v>0</v>
      </c>
      <c r="JW15" s="419">
        <f t="shared" si="83"/>
        <v>0</v>
      </c>
      <c r="JX15">
        <v>137</v>
      </c>
      <c r="JY15" s="419">
        <f t="shared" si="43"/>
        <v>0</v>
      </c>
      <c r="KA15" t="s">
        <v>318</v>
      </c>
      <c r="KB15" s="31">
        <f>SUM(JT21:JT22)</f>
        <v>33235.425415313322</v>
      </c>
      <c r="KC15" s="31">
        <f>SUM(JW21:JW22)</f>
        <v>32750.915166335231</v>
      </c>
      <c r="KD15" s="31">
        <f>SUM(JY21:JY22)</f>
        <v>23574.310493880846</v>
      </c>
      <c r="KF15" t="s">
        <v>318</v>
      </c>
      <c r="KG15" s="31">
        <f t="shared" si="103"/>
        <v>32328.844159795823</v>
      </c>
      <c r="KH15" s="31">
        <f t="shared" si="104"/>
        <v>31857.550167397592</v>
      </c>
      <c r="KI15" s="31">
        <f t="shared" si="105"/>
        <v>22931.260864203032</v>
      </c>
      <c r="KK15" t="s">
        <v>318</v>
      </c>
      <c r="KL15" s="31">
        <f t="shared" si="106"/>
        <v>29933.358582849458</v>
      </c>
      <c r="KM15" s="31">
        <f t="shared" si="107"/>
        <v>29496.986283157315</v>
      </c>
      <c r="KN15" s="31">
        <f t="shared" si="108"/>
        <v>21232.112438423374</v>
      </c>
    </row>
    <row r="16" spans="1:300" ht="16.5" customHeight="1" thickBot="1" x14ac:dyDescent="0.8">
      <c r="A16" s="1161"/>
      <c r="B16" s="341" t="s">
        <v>314</v>
      </c>
      <c r="C16" s="342">
        <v>39072</v>
      </c>
      <c r="D16" s="343">
        <v>41329</v>
      </c>
      <c r="E16" s="344">
        <v>40381</v>
      </c>
      <c r="F16" s="383">
        <v>120782</v>
      </c>
      <c r="G16" s="382">
        <v>690618.38242838928</v>
      </c>
      <c r="H16" s="347"/>
      <c r="I16" s="339"/>
      <c r="J16" s="339"/>
      <c r="K16" s="339"/>
      <c r="L16" s="339"/>
      <c r="M16" s="503"/>
      <c r="S16" s="213">
        <v>0.16</v>
      </c>
      <c r="T16" s="147">
        <v>1.9400000000000001E-2</v>
      </c>
      <c r="U16" s="213">
        <v>0.65</v>
      </c>
      <c r="W16">
        <v>4.97</v>
      </c>
      <c r="X16" t="s">
        <v>942</v>
      </c>
      <c r="AB16" s="213">
        <v>0.65</v>
      </c>
      <c r="AG16" s="796" t="s">
        <v>223</v>
      </c>
      <c r="AH16" s="798">
        <v>91558</v>
      </c>
      <c r="AI16" s="798">
        <v>59550</v>
      </c>
      <c r="AJ16" s="797">
        <v>0.65</v>
      </c>
      <c r="AK16" s="796">
        <v>43.39</v>
      </c>
      <c r="AL16" s="803">
        <v>15837</v>
      </c>
      <c r="AN16" s="121">
        <f>AH16/AH31</f>
        <v>0.30594800507919534</v>
      </c>
      <c r="AO16" s="121">
        <f>AI16/AI31</f>
        <v>0.37473334466028579</v>
      </c>
      <c r="AP16">
        <f t="shared" si="11"/>
        <v>1450.004046</v>
      </c>
      <c r="AR16" s="121">
        <f t="shared" si="12"/>
        <v>0.29178160344596771</v>
      </c>
      <c r="AU16" t="s">
        <v>336</v>
      </c>
      <c r="AV16" s="147">
        <f>AR25</f>
        <v>6.6911955386699612E-2</v>
      </c>
      <c r="AW16" s="31">
        <f t="shared" si="44"/>
        <v>94.443213493867304</v>
      </c>
      <c r="AX16">
        <v>3</v>
      </c>
      <c r="AY16">
        <f t="shared" si="45"/>
        <v>0.03</v>
      </c>
      <c r="AZ16">
        <v>0.75</v>
      </c>
      <c r="BA16">
        <f t="shared" si="46"/>
        <v>2.2499999999999999E-2</v>
      </c>
      <c r="BB16">
        <v>44.3</v>
      </c>
      <c r="BC16">
        <f t="shared" si="47"/>
        <v>0.99674999999999991</v>
      </c>
      <c r="BD16">
        <v>72.335002492541093</v>
      </c>
      <c r="BE16">
        <v>7.1637159556547196E-3</v>
      </c>
      <c r="BF16">
        <v>4.7891015874360001E-4</v>
      </c>
      <c r="BG16" s="31">
        <f t="shared" si="48"/>
        <v>94.136273050012221</v>
      </c>
      <c r="BH16" s="31">
        <f t="shared" si="89"/>
        <v>6809.3475457111626</v>
      </c>
      <c r="BI16" s="31">
        <f t="shared" si="49"/>
        <v>0.67436552125424187</v>
      </c>
      <c r="BJ16" s="31">
        <f t="shared" si="17"/>
        <v>4.5082817469912224E-2</v>
      </c>
      <c r="BK16" s="655">
        <f t="shared" si="109"/>
        <v>6840.1767269358079</v>
      </c>
      <c r="BL16">
        <v>4.34</v>
      </c>
      <c r="BM16">
        <f t="shared" si="84"/>
        <v>12296506.396901522</v>
      </c>
      <c r="BN16" s="419">
        <f t="shared" si="50"/>
        <v>12296.506396901521</v>
      </c>
      <c r="BO16">
        <v>138.4</v>
      </c>
      <c r="BP16" s="419">
        <f t="shared" si="51"/>
        <v>13070.940747551236</v>
      </c>
      <c r="BQ16" s="419"/>
      <c r="BR16" s="419"/>
      <c r="BS16" t="s">
        <v>325</v>
      </c>
      <c r="BT16" s="31">
        <f>SUM(BK24:BK25)</f>
        <v>14683.569104711059</v>
      </c>
      <c r="BU16" s="31">
        <f>SUM(BN24:BN25)</f>
        <v>14502.419426147742</v>
      </c>
      <c r="BV16" s="31">
        <f>SUM(BP24:BP25)</f>
        <v>20131.082019303329</v>
      </c>
      <c r="BW16" s="31"/>
      <c r="BZ16" s="419"/>
      <c r="CB16" s="796" t="s">
        <v>223</v>
      </c>
      <c r="CC16" s="798">
        <v>90386</v>
      </c>
      <c r="CD16" s="798">
        <v>55074</v>
      </c>
      <c r="CE16" s="797">
        <v>0.61</v>
      </c>
      <c r="CF16" s="796">
        <v>45.67</v>
      </c>
      <c r="CG16" s="803">
        <v>16669</v>
      </c>
      <c r="CI16" s="121">
        <f t="shared" ref="CI16:CJ21" si="113">CC16/CC30</f>
        <v>0.31433142062250041</v>
      </c>
      <c r="CJ16" s="121">
        <f t="shared" si="113"/>
        <v>0.37226499395037277</v>
      </c>
      <c r="CL16" s="31">
        <f t="shared" si="110"/>
        <v>1506.6442340000001</v>
      </c>
      <c r="CM16" s="121">
        <f t="shared" si="1"/>
        <v>0.30664027973118629</v>
      </c>
      <c r="CP16" t="s">
        <v>337</v>
      </c>
      <c r="CQ16" s="147">
        <v>0</v>
      </c>
      <c r="CR16" s="31">
        <f t="shared" si="52"/>
        <v>0</v>
      </c>
      <c r="CS16">
        <v>4</v>
      </c>
      <c r="CT16">
        <f t="shared" si="53"/>
        <v>0.04</v>
      </c>
      <c r="CU16">
        <v>0.86499999999999999</v>
      </c>
      <c r="CV16">
        <f t="shared" si="54"/>
        <v>3.4599999999999999E-2</v>
      </c>
      <c r="CW16">
        <v>43</v>
      </c>
      <c r="CX16">
        <f t="shared" si="55"/>
        <v>1.4878</v>
      </c>
      <c r="CY16">
        <v>74.054734089485606</v>
      </c>
      <c r="CZ16">
        <v>1.1457692289250001E-4</v>
      </c>
      <c r="DA16">
        <v>2.5659043229536902E-3</v>
      </c>
      <c r="DB16" s="31">
        <f t="shared" si="56"/>
        <v>0</v>
      </c>
      <c r="DC16" s="31">
        <f t="shared" si="57"/>
        <v>0</v>
      </c>
      <c r="DD16" s="31">
        <f>$DB16*CZ16</f>
        <v>0</v>
      </c>
      <c r="DE16" s="31">
        <f t="shared" si="59"/>
        <v>0</v>
      </c>
      <c r="DF16" s="655">
        <f t="shared" si="60"/>
        <v>0</v>
      </c>
      <c r="DG16">
        <v>5.34</v>
      </c>
      <c r="DH16">
        <f t="shared" si="61"/>
        <v>0</v>
      </c>
      <c r="DI16" s="419">
        <f t="shared" si="62"/>
        <v>0</v>
      </c>
      <c r="DJ16">
        <v>138.4</v>
      </c>
      <c r="DK16" s="419">
        <f t="shared" si="63"/>
        <v>0</v>
      </c>
      <c r="DM16" t="s">
        <v>325</v>
      </c>
      <c r="DN16" s="31">
        <f>SUM(DF23:DF24)</f>
        <v>12722.76443627958</v>
      </c>
      <c r="DO16" s="31">
        <f>SUM(DI23:DI24)</f>
        <v>12419.796617337628</v>
      </c>
      <c r="DP16" s="31">
        <f>SUM(DK23:DK24)</f>
        <v>17240.073901148091</v>
      </c>
      <c r="DS16" s="735" t="s">
        <v>223</v>
      </c>
      <c r="DT16" s="737">
        <v>88778</v>
      </c>
      <c r="DU16" s="737">
        <v>51515</v>
      </c>
      <c r="DV16" s="736">
        <v>0.57999999999999996</v>
      </c>
      <c r="DW16" s="735">
        <v>42.2</v>
      </c>
      <c r="DX16" s="737">
        <v>15404</v>
      </c>
      <c r="DZ16" s="121">
        <f t="shared" ref="DZ16:EA21" si="114">DT16/DT30</f>
        <v>0.32252533068855149</v>
      </c>
      <c r="EA16" s="121">
        <f t="shared" si="114"/>
        <v>0.3623861278182266</v>
      </c>
      <c r="EC16" s="31">
        <f t="shared" si="111"/>
        <v>1367.536312</v>
      </c>
      <c r="ED16" s="121">
        <f t="shared" si="3"/>
        <v>0.32815822004581735</v>
      </c>
      <c r="EG16" t="s">
        <v>337</v>
      </c>
      <c r="EH16" s="147">
        <v>0</v>
      </c>
      <c r="EI16" s="31">
        <f t="shared" si="64"/>
        <v>0</v>
      </c>
      <c r="EJ16">
        <v>5</v>
      </c>
      <c r="EK16">
        <f t="shared" si="65"/>
        <v>0.05</v>
      </c>
      <c r="EL16">
        <v>0.86499999999999999</v>
      </c>
      <c r="EM16">
        <f t="shared" si="66"/>
        <v>4.3250000000000004E-2</v>
      </c>
      <c r="EN16">
        <v>43</v>
      </c>
      <c r="EO16">
        <f t="shared" si="67"/>
        <v>1.8597500000000002</v>
      </c>
      <c r="EP16">
        <v>74.054734089485606</v>
      </c>
      <c r="EQ16">
        <v>1.1457692289250001E-4</v>
      </c>
      <c r="ER16">
        <v>2.5659043229536902E-3</v>
      </c>
      <c r="ES16" s="31">
        <f t="shared" si="18"/>
        <v>0</v>
      </c>
      <c r="ET16" s="31">
        <f t="shared" si="19"/>
        <v>0</v>
      </c>
      <c r="EU16" s="31">
        <f t="shared" si="20"/>
        <v>0</v>
      </c>
      <c r="EV16" s="31">
        <f t="shared" si="21"/>
        <v>0</v>
      </c>
      <c r="EW16" s="655">
        <f t="shared" si="22"/>
        <v>0</v>
      </c>
      <c r="EX16">
        <v>5.34</v>
      </c>
      <c r="EY16">
        <f t="shared" si="23"/>
        <v>0</v>
      </c>
      <c r="EZ16" s="419">
        <f t="shared" si="68"/>
        <v>0</v>
      </c>
      <c r="FA16">
        <v>138.4</v>
      </c>
      <c r="FB16" s="419">
        <f t="shared" si="24"/>
        <v>0</v>
      </c>
      <c r="FD16" t="s">
        <v>325</v>
      </c>
      <c r="FE16" s="31">
        <f>SUM(EW23:EW24)</f>
        <v>8184.5371874792236</v>
      </c>
      <c r="FF16" s="31">
        <f>SUM(EZ23:EZ24)</f>
        <v>7989.6530788354767</v>
      </c>
      <c r="FG16" s="31">
        <f>SUM(FB23:FB24)</f>
        <v>11090.492751178026</v>
      </c>
      <c r="FJ16" s="637" t="s">
        <v>223</v>
      </c>
      <c r="FK16" s="631">
        <v>88209</v>
      </c>
      <c r="FL16" s="631">
        <v>44654</v>
      </c>
      <c r="FM16" s="630">
        <v>0.51</v>
      </c>
      <c r="FN16" s="629">
        <v>42.55</v>
      </c>
      <c r="FO16" s="638">
        <v>15530</v>
      </c>
      <c r="FQ16" s="121">
        <f t="shared" ref="FQ16:FR21" si="115">FK16/FK30</f>
        <v>0.32716651521614154</v>
      </c>
      <c r="FR16" s="121">
        <f t="shared" si="115"/>
        <v>0.33788599922819074</v>
      </c>
      <c r="FT16" s="31">
        <f t="shared" si="112"/>
        <v>1369.8857700000001</v>
      </c>
      <c r="FU16" s="121">
        <f t="shared" si="5"/>
        <v>0.3287220032145618</v>
      </c>
      <c r="FX16" t="s">
        <v>337</v>
      </c>
      <c r="FY16" s="147">
        <v>0</v>
      </c>
      <c r="FZ16" s="31">
        <f t="shared" si="25"/>
        <v>0</v>
      </c>
      <c r="GA16">
        <v>5</v>
      </c>
      <c r="GB16">
        <f t="shared" si="95"/>
        <v>0.05</v>
      </c>
      <c r="GC16">
        <v>0.86499999999999999</v>
      </c>
      <c r="GD16">
        <f t="shared" si="96"/>
        <v>4.3250000000000004E-2</v>
      </c>
      <c r="GE16">
        <v>43</v>
      </c>
      <c r="GF16">
        <f t="shared" si="97"/>
        <v>1.8597500000000002</v>
      </c>
      <c r="GG16">
        <v>73.367636682232202</v>
      </c>
      <c r="GH16">
        <f>0.06636778941357/1000</f>
        <v>6.6367789413569991E-5</v>
      </c>
      <c r="GI16">
        <f>2.52657658902305/1000</f>
        <v>2.5265765890230499E-3</v>
      </c>
      <c r="GJ16" s="31">
        <f t="shared" si="26"/>
        <v>0</v>
      </c>
      <c r="GK16" s="31">
        <f t="shared" si="27"/>
        <v>0</v>
      </c>
      <c r="GL16" s="31">
        <f t="shared" si="28"/>
        <v>0</v>
      </c>
      <c r="GM16" s="31">
        <f t="shared" si="29"/>
        <v>0</v>
      </c>
      <c r="GN16" s="655">
        <f t="shared" si="72"/>
        <v>0</v>
      </c>
      <c r="GO16">
        <v>5.34</v>
      </c>
      <c r="GP16">
        <f t="shared" si="30"/>
        <v>0</v>
      </c>
      <c r="GQ16" s="419">
        <f t="shared" si="98"/>
        <v>0</v>
      </c>
      <c r="GR16">
        <v>138.4</v>
      </c>
      <c r="GS16" s="419">
        <f t="shared" si="31"/>
        <v>0</v>
      </c>
      <c r="GU16" t="s">
        <v>325</v>
      </c>
      <c r="GV16" s="31">
        <f>SUM(GN23:GN24)</f>
        <v>10009.73584866005</v>
      </c>
      <c r="GW16" s="31">
        <f>SUM(GQ23:GQ24)</f>
        <v>9884.80460445063</v>
      </c>
      <c r="GX16" s="31">
        <f>SUM(GS23:GS24)</f>
        <v>13721.152716780131</v>
      </c>
      <c r="GZ16" s="133" t="s">
        <v>223</v>
      </c>
      <c r="HA16" s="156">
        <v>87423</v>
      </c>
      <c r="HB16" s="156">
        <v>38834</v>
      </c>
      <c r="HC16" s="135">
        <v>0.44</v>
      </c>
      <c r="HD16" s="134">
        <v>43.87</v>
      </c>
      <c r="HE16" s="136">
        <v>16013</v>
      </c>
      <c r="HG16" s="121">
        <f t="shared" ref="HG16:HH19" si="116">HA16/HA23</f>
        <v>0.32399888816825723</v>
      </c>
      <c r="HH16" s="121">
        <f t="shared" si="116"/>
        <v>0.30740125069263041</v>
      </c>
      <c r="HJ16" s="31">
        <f t="shared" si="6"/>
        <v>1399.904499</v>
      </c>
      <c r="HK16" s="121">
        <f t="shared" si="7"/>
        <v>0.32956545119115854</v>
      </c>
      <c r="HN16" t="s">
        <v>337</v>
      </c>
      <c r="HO16" s="147">
        <v>0</v>
      </c>
      <c r="HP16" s="31">
        <f t="shared" si="32"/>
        <v>0</v>
      </c>
      <c r="HQ16">
        <v>4</v>
      </c>
      <c r="HR16">
        <f t="shared" si="74"/>
        <v>0.04</v>
      </c>
      <c r="HS16">
        <v>0.86499999999999999</v>
      </c>
      <c r="HT16">
        <f t="shared" si="75"/>
        <v>3.4599999999999999E-2</v>
      </c>
      <c r="HU16">
        <v>43</v>
      </c>
      <c r="HV16">
        <f t="shared" si="76"/>
        <v>1.4878</v>
      </c>
      <c r="HW16">
        <v>75.416541095973002</v>
      </c>
      <c r="HX16">
        <f t="shared" si="99"/>
        <v>7.8785263264484397E-3</v>
      </c>
      <c r="HY16">
        <f t="shared" si="100"/>
        <v>9.3521034397127997E-4</v>
      </c>
      <c r="HZ16" s="31">
        <f t="shared" si="33"/>
        <v>0</v>
      </c>
      <c r="IA16" s="31">
        <f t="shared" si="77"/>
        <v>0</v>
      </c>
      <c r="IB16" s="31">
        <f t="shared" si="34"/>
        <v>0</v>
      </c>
      <c r="IC16" s="31">
        <f t="shared" si="34"/>
        <v>0</v>
      </c>
      <c r="ID16" s="655">
        <f t="shared" si="35"/>
        <v>0</v>
      </c>
      <c r="IE16">
        <v>5.34</v>
      </c>
      <c r="IF16">
        <f t="shared" si="36"/>
        <v>0</v>
      </c>
      <c r="IG16" s="419">
        <f t="shared" si="78"/>
        <v>0</v>
      </c>
      <c r="IH16">
        <v>138.4</v>
      </c>
      <c r="II16" s="419">
        <f t="shared" si="37"/>
        <v>0</v>
      </c>
      <c r="IK16" t="s">
        <v>325</v>
      </c>
      <c r="IL16" s="31">
        <f>SUM(ID23:ID24)</f>
        <v>12601.779692603292</v>
      </c>
      <c r="IM16" s="31">
        <f>SUM(IG23:IG24)</f>
        <v>12444.028914535582</v>
      </c>
      <c r="IN16" s="31">
        <f>SUM(II23:II24)</f>
        <v>17273.293664038792</v>
      </c>
      <c r="IP16" s="637" t="s">
        <v>223</v>
      </c>
      <c r="IQ16" s="631">
        <v>84557</v>
      </c>
      <c r="IR16" s="631">
        <v>37498</v>
      </c>
      <c r="IS16" s="630">
        <v>0.44</v>
      </c>
      <c r="IT16" s="629">
        <v>43.95</v>
      </c>
      <c r="IU16" s="638">
        <v>16040</v>
      </c>
      <c r="IW16" s="121">
        <f t="shared" ref="IW16:IW19" si="117">IQ16/IQ23</f>
        <v>0.31623925230848632</v>
      </c>
      <c r="IX16" s="121">
        <f t="shared" ref="IX16:IX19" si="118">IR16/IR23</f>
        <v>0.28665127585732414</v>
      </c>
      <c r="IZ16" s="31">
        <f t="shared" si="8"/>
        <v>1356.2942800000001</v>
      </c>
      <c r="JA16" s="121">
        <f t="shared" si="9"/>
        <v>0.31929873548908966</v>
      </c>
      <c r="JD16" t="s">
        <v>337</v>
      </c>
      <c r="JE16" s="147">
        <v>0</v>
      </c>
      <c r="JF16" s="31">
        <f t="shared" si="38"/>
        <v>0</v>
      </c>
      <c r="JG16">
        <v>4</v>
      </c>
      <c r="JH16">
        <f t="shared" si="79"/>
        <v>0.04</v>
      </c>
      <c r="JI16">
        <v>0.86499999999999999</v>
      </c>
      <c r="JJ16">
        <f t="shared" si="80"/>
        <v>3.4599999999999999E-2</v>
      </c>
      <c r="JK16">
        <v>43</v>
      </c>
      <c r="JL16">
        <f t="shared" si="81"/>
        <v>1.4878</v>
      </c>
      <c r="JM16">
        <v>75.416541095973002</v>
      </c>
      <c r="JN16">
        <f t="shared" si="101"/>
        <v>7.8785263264484397E-3</v>
      </c>
      <c r="JO16">
        <f t="shared" si="102"/>
        <v>9.3521034397127997E-4</v>
      </c>
      <c r="JP16" s="31">
        <f t="shared" si="39"/>
        <v>0</v>
      </c>
      <c r="JQ16" s="31">
        <f t="shared" si="82"/>
        <v>0</v>
      </c>
      <c r="JR16" s="31">
        <f t="shared" si="40"/>
        <v>0</v>
      </c>
      <c r="JS16" s="31">
        <f t="shared" si="40"/>
        <v>0</v>
      </c>
      <c r="JT16" s="655">
        <f t="shared" si="41"/>
        <v>0</v>
      </c>
      <c r="JU16">
        <v>5.34</v>
      </c>
      <c r="JV16">
        <f t="shared" si="42"/>
        <v>0</v>
      </c>
      <c r="JW16" s="419">
        <f t="shared" si="83"/>
        <v>0</v>
      </c>
      <c r="JX16">
        <v>137</v>
      </c>
      <c r="JY16" s="419">
        <f t="shared" si="43"/>
        <v>0</v>
      </c>
      <c r="KA16" t="s">
        <v>325</v>
      </c>
      <c r="KB16" s="31">
        <f>SUM(JT23:JT24)</f>
        <v>12225.659426644945</v>
      </c>
      <c r="KC16" s="31">
        <f>SUM(JW23:JW24)</f>
        <v>12072.540375498724</v>
      </c>
      <c r="KD16" s="31">
        <f>SUM(JY23:JY24)</f>
        <v>16757.583855443034</v>
      </c>
      <c r="KF16" t="s">
        <v>325</v>
      </c>
      <c r="KG16" s="31">
        <f t="shared" si="103"/>
        <v>11892.173288464497</v>
      </c>
      <c r="KH16" s="31">
        <f t="shared" si="104"/>
        <v>11743.230951167945</v>
      </c>
      <c r="KI16" s="31">
        <f t="shared" si="105"/>
        <v>16300.477884291315</v>
      </c>
      <c r="KK16" t="s">
        <v>325</v>
      </c>
      <c r="KL16" s="31">
        <f t="shared" si="106"/>
        <v>11010.993328851508</v>
      </c>
      <c r="KM16" s="31">
        <f t="shared" si="107"/>
        <v>10873.087242001367</v>
      </c>
      <c r="KN16" s="31">
        <f t="shared" si="108"/>
        <v>15092.653704863564</v>
      </c>
    </row>
    <row r="17" spans="1:300" ht="16.5" customHeight="1" thickBot="1" x14ac:dyDescent="0.8">
      <c r="A17" s="1161"/>
      <c r="B17" s="341" t="s">
        <v>316</v>
      </c>
      <c r="C17" s="342">
        <v>34593</v>
      </c>
      <c r="D17" s="343">
        <v>38833</v>
      </c>
      <c r="E17" s="344">
        <v>38760.78330939178</v>
      </c>
      <c r="F17" s="345">
        <v>112186.78330939179</v>
      </c>
      <c r="G17" s="382">
        <v>802805.16573778109</v>
      </c>
      <c r="H17" s="347"/>
      <c r="I17" s="339"/>
      <c r="J17" s="339"/>
      <c r="K17" s="339"/>
      <c r="L17" s="339"/>
      <c r="M17" s="503"/>
      <c r="Q17" t="s">
        <v>392</v>
      </c>
      <c r="R17" t="s">
        <v>342</v>
      </c>
      <c r="S17" s="25" t="s">
        <v>393</v>
      </c>
      <c r="T17" s="25" t="s">
        <v>394</v>
      </c>
      <c r="U17" s="25" t="s">
        <v>395</v>
      </c>
      <c r="V17" s="25" t="s">
        <v>396</v>
      </c>
      <c r="W17" s="25" t="s">
        <v>344</v>
      </c>
      <c r="Z17" t="s">
        <v>344</v>
      </c>
      <c r="AA17" s="25" t="s">
        <v>955</v>
      </c>
      <c r="AB17" t="s">
        <v>954</v>
      </c>
      <c r="AG17" s="795" t="s">
        <v>294</v>
      </c>
      <c r="AH17" s="793">
        <v>1168</v>
      </c>
      <c r="AI17" s="795">
        <v>708</v>
      </c>
      <c r="AJ17" s="794">
        <v>0.61</v>
      </c>
      <c r="AK17" s="795">
        <v>59.25</v>
      </c>
      <c r="AL17" s="802">
        <v>21626</v>
      </c>
      <c r="AN17" s="121">
        <f t="shared" ref="AN17:AN21" si="119">AH17/AH32</f>
        <v>0.91107644305772228</v>
      </c>
      <c r="AO17" s="121">
        <f t="shared" ref="AO17:AO21" si="120">AI17/AI32</f>
        <v>0.91828793774319062</v>
      </c>
      <c r="AP17">
        <f t="shared" si="11"/>
        <v>25.259167999999999</v>
      </c>
      <c r="AR17" s="121">
        <f t="shared" si="12"/>
        <v>5.0828551555304261E-3</v>
      </c>
      <c r="AU17" t="s">
        <v>337</v>
      </c>
      <c r="AV17" s="147">
        <v>0</v>
      </c>
      <c r="AW17" s="31">
        <f t="shared" si="44"/>
        <v>0</v>
      </c>
      <c r="AX17">
        <v>4</v>
      </c>
      <c r="AY17">
        <f t="shared" si="45"/>
        <v>0.04</v>
      </c>
      <c r="AZ17">
        <v>0.86499999999999999</v>
      </c>
      <c r="BA17">
        <f t="shared" si="46"/>
        <v>3.4599999999999999E-2</v>
      </c>
      <c r="BB17">
        <v>43</v>
      </c>
      <c r="BC17">
        <f t="shared" si="47"/>
        <v>1.4878</v>
      </c>
      <c r="BD17">
        <v>73.510933419407607</v>
      </c>
      <c r="BE17">
        <v>5.406312413867E-5</v>
      </c>
      <c r="BF17">
        <v>2.5456284629589302E-3</v>
      </c>
      <c r="BG17" s="31">
        <f t="shared" si="48"/>
        <v>0</v>
      </c>
      <c r="BH17" s="31">
        <f t="shared" si="89"/>
        <v>0</v>
      </c>
      <c r="BI17" s="31">
        <f t="shared" si="49"/>
        <v>0</v>
      </c>
      <c r="BJ17" s="31">
        <f t="shared" si="17"/>
        <v>0</v>
      </c>
      <c r="BK17" s="655">
        <f t="shared" si="109"/>
        <v>0</v>
      </c>
      <c r="BL17">
        <v>5.34</v>
      </c>
      <c r="BM17">
        <f t="shared" si="84"/>
        <v>0</v>
      </c>
      <c r="BN17" s="419">
        <f t="shared" si="50"/>
        <v>0</v>
      </c>
      <c r="BO17">
        <v>138.4</v>
      </c>
      <c r="BP17" s="419">
        <f t="shared" si="51"/>
        <v>0</v>
      </c>
      <c r="BQ17" s="419"/>
      <c r="BR17" s="419"/>
      <c r="BS17" t="s">
        <v>305</v>
      </c>
      <c r="BT17" s="31">
        <f>SUM(BK26:BK27)</f>
        <v>17323.847070957956</v>
      </c>
      <c r="BU17" s="31">
        <f>SUM(BN26:BN27)</f>
        <v>17004.595422664668</v>
      </c>
      <c r="BV17" s="31">
        <f>SUM(BP26:BP27)</f>
        <v>18491.93739416813</v>
      </c>
      <c r="BW17" s="31"/>
      <c r="BZ17" s="419"/>
      <c r="CB17" s="795" t="s">
        <v>294</v>
      </c>
      <c r="CC17" s="793">
        <v>1192</v>
      </c>
      <c r="CD17" s="795">
        <v>694</v>
      </c>
      <c r="CE17" s="794">
        <v>0.57999999999999996</v>
      </c>
      <c r="CF17" s="795">
        <v>72.760000000000005</v>
      </c>
      <c r="CG17" s="802">
        <v>26557</v>
      </c>
      <c r="CI17" s="121">
        <f t="shared" si="113"/>
        <v>0.9078446306169079</v>
      </c>
      <c r="CJ17" s="121">
        <f t="shared" si="113"/>
        <v>0.93279569892473113</v>
      </c>
      <c r="CL17" s="31">
        <f t="shared" si="110"/>
        <v>31.655944000000002</v>
      </c>
      <c r="CM17" s="121">
        <f t="shared" si="1"/>
        <v>6.4427867603114378E-3</v>
      </c>
      <c r="CP17" t="s">
        <v>339</v>
      </c>
      <c r="CQ17" s="147">
        <f>CM27</f>
        <v>3.5449687522640791E-3</v>
      </c>
      <c r="CR17" s="31">
        <f t="shared" si="52"/>
        <v>4.7835218393157577</v>
      </c>
      <c r="CS17">
        <v>4</v>
      </c>
      <c r="CT17">
        <f t="shared" si="53"/>
        <v>0.04</v>
      </c>
      <c r="CU17">
        <v>0.86499999999999999</v>
      </c>
      <c r="CV17">
        <f t="shared" si="54"/>
        <v>3.4599999999999999E-2</v>
      </c>
      <c r="CW17">
        <v>43</v>
      </c>
      <c r="CX17">
        <f t="shared" si="55"/>
        <v>1.4878</v>
      </c>
      <c r="CY17">
        <v>74.054734089485606</v>
      </c>
      <c r="CZ17">
        <v>1.1457692289250001E-4</v>
      </c>
      <c r="DA17">
        <v>2.5659043229536902E-3</v>
      </c>
      <c r="DB17" s="31">
        <f t="shared" si="56"/>
        <v>7.1169237925339841</v>
      </c>
      <c r="DC17" s="31">
        <f t="shared" si="57"/>
        <v>527.04189899123764</v>
      </c>
      <c r="DD17" s="31">
        <f t="shared" si="58"/>
        <v>8.1543522860896497E-4</v>
      </c>
      <c r="DE17" s="31">
        <f>$DB17*DA17</f>
        <v>1.826134552539492E-2</v>
      </c>
      <c r="DF17" s="655">
        <f t="shared" si="60"/>
        <v>531.90398774186838</v>
      </c>
      <c r="DG17">
        <v>6.34</v>
      </c>
      <c r="DH17">
        <f t="shared" si="61"/>
        <v>1213101.1384504761</v>
      </c>
      <c r="DI17" s="419">
        <f t="shared" si="62"/>
        <v>1213.1011384504761</v>
      </c>
      <c r="DJ17">
        <v>138.4</v>
      </c>
      <c r="DK17" s="419">
        <f t="shared" si="63"/>
        <v>662.03942256130085</v>
      </c>
      <c r="DM17" t="s">
        <v>305</v>
      </c>
      <c r="DN17" s="31">
        <f>SUM(DF25:DF26)</f>
        <v>16187.567206602902</v>
      </c>
      <c r="DO17" s="31">
        <f>SUM(DI25:DI26)</f>
        <v>15870.422696485382</v>
      </c>
      <c r="DP17" s="31">
        <f>SUM(DK25:DK26)</f>
        <v>17232.388275223249</v>
      </c>
      <c r="DS17" s="732" t="s">
        <v>294</v>
      </c>
      <c r="DT17" s="733">
        <v>1238</v>
      </c>
      <c r="DU17" s="732">
        <v>627</v>
      </c>
      <c r="DV17" s="734">
        <v>0.51</v>
      </c>
      <c r="DW17" s="732">
        <v>45.4</v>
      </c>
      <c r="DX17" s="733">
        <v>16570</v>
      </c>
      <c r="DZ17" s="121">
        <f t="shared" si="114"/>
        <v>0.91096394407652681</v>
      </c>
      <c r="EA17" s="121">
        <f t="shared" si="114"/>
        <v>0.92614475627769577</v>
      </c>
      <c r="EC17" s="31">
        <f t="shared" si="111"/>
        <v>20.513660000000002</v>
      </c>
      <c r="ED17" s="121">
        <f t="shared" si="3"/>
        <v>4.9225209547672198E-3</v>
      </c>
      <c r="EG17" t="s">
        <v>339</v>
      </c>
      <c r="EH17" s="147">
        <f t="shared" ref="EH17:EH18" si="121">ED27</f>
        <v>3.575129242565003E-3</v>
      </c>
      <c r="EI17" s="31">
        <f t="shared" si="64"/>
        <v>3.8994320440074466</v>
      </c>
      <c r="EJ17">
        <v>5</v>
      </c>
      <c r="EK17">
        <f t="shared" si="65"/>
        <v>0.05</v>
      </c>
      <c r="EL17">
        <v>0.86499999999999999</v>
      </c>
      <c r="EM17">
        <f t="shared" si="66"/>
        <v>4.3250000000000004E-2</v>
      </c>
      <c r="EN17">
        <v>43</v>
      </c>
      <c r="EO17">
        <f t="shared" si="67"/>
        <v>1.8597500000000002</v>
      </c>
      <c r="EP17">
        <v>74.054734089485606</v>
      </c>
      <c r="EQ17">
        <v>1.1457692289250001E-4</v>
      </c>
      <c r="ER17">
        <v>2.5659043229536902E-3</v>
      </c>
      <c r="ES17" s="31">
        <f t="shared" si="18"/>
        <v>7.2519687438428493</v>
      </c>
      <c r="ET17" s="31">
        <f t="shared" si="19"/>
        <v>537.04261695054311</v>
      </c>
      <c r="EU17" s="31">
        <f t="shared" si="20"/>
        <v>8.3090826358210232E-4</v>
      </c>
      <c r="EV17" s="31">
        <f t="shared" si="21"/>
        <v>1.8607857949751408E-2</v>
      </c>
      <c r="EW17" s="655">
        <f t="shared" si="22"/>
        <v>541.99696473860752</v>
      </c>
      <c r="EX17">
        <v>6.34</v>
      </c>
      <c r="EY17">
        <f t="shared" si="23"/>
        <v>1236119.9579503606</v>
      </c>
      <c r="EZ17" s="419">
        <f t="shared" si="68"/>
        <v>1236.1199579503607</v>
      </c>
      <c r="FA17">
        <v>138.4</v>
      </c>
      <c r="FB17" s="419">
        <f t="shared" si="24"/>
        <v>539.6813948906306</v>
      </c>
      <c r="FD17" t="s">
        <v>305</v>
      </c>
      <c r="FE17" s="31">
        <f>SUM(EW25:EW26)</f>
        <v>12980.5987496207</v>
      </c>
      <c r="FF17" s="31">
        <f>SUM(EZ25:EZ26)</f>
        <v>12727.332978416423</v>
      </c>
      <c r="FG17" s="31">
        <f>SUM(FB25:FB26)</f>
        <v>13766.116965735655</v>
      </c>
      <c r="FJ17" s="635" t="s">
        <v>294</v>
      </c>
      <c r="FK17" s="626">
        <v>1257</v>
      </c>
      <c r="FL17" s="628">
        <v>559</v>
      </c>
      <c r="FM17" s="627">
        <v>0.44</v>
      </c>
      <c r="FN17" s="628">
        <v>60.13</v>
      </c>
      <c r="FO17" s="636">
        <v>21948</v>
      </c>
      <c r="FQ17" s="121">
        <f t="shared" si="115"/>
        <v>0.92699115044247793</v>
      </c>
      <c r="FR17" s="121">
        <f t="shared" si="115"/>
        <v>0.91940789473684215</v>
      </c>
      <c r="FT17" s="31">
        <f t="shared" si="112"/>
        <v>27.588636000000001</v>
      </c>
      <c r="FU17" s="121">
        <f t="shared" si="5"/>
        <v>6.6202539587496955E-3</v>
      </c>
      <c r="FX17" t="s">
        <v>339</v>
      </c>
      <c r="FY17" s="147">
        <f>FU27</f>
        <v>2.8389597195019396E-3</v>
      </c>
      <c r="FZ17" s="31">
        <f t="shared" si="25"/>
        <v>2.831306601439858</v>
      </c>
      <c r="GA17">
        <v>5</v>
      </c>
      <c r="GB17">
        <f t="shared" si="95"/>
        <v>0.05</v>
      </c>
      <c r="GC17">
        <v>0.86499999999999999</v>
      </c>
      <c r="GD17">
        <f t="shared" si="96"/>
        <v>4.3250000000000004E-2</v>
      </c>
      <c r="GE17">
        <v>43</v>
      </c>
      <c r="GF17">
        <f t="shared" si="97"/>
        <v>1.8597500000000002</v>
      </c>
      <c r="GG17">
        <v>73.367636682232202</v>
      </c>
      <c r="GH17">
        <f>0.06636778941357/1000</f>
        <v>6.6367789413569991E-5</v>
      </c>
      <c r="GI17">
        <f>2.52657658902305/1000</f>
        <v>2.5265765890230499E-3</v>
      </c>
      <c r="GJ17" s="31">
        <f t="shared" si="26"/>
        <v>5.2655224520277768</v>
      </c>
      <c r="GK17" s="31">
        <f t="shared" si="27"/>
        <v>386.31893820251037</v>
      </c>
      <c r="GL17" s="31">
        <f t="shared" si="28"/>
        <v>3.494610852486042E-4</v>
      </c>
      <c r="GM17" s="31">
        <f t="shared" si="29"/>
        <v>1.3303745756268626E-2</v>
      </c>
      <c r="GN17" s="655">
        <f t="shared" si="72"/>
        <v>389.85421573830848</v>
      </c>
      <c r="GO17">
        <v>6.34</v>
      </c>
      <c r="GP17">
        <f t="shared" si="30"/>
        <v>897524.19265643507</v>
      </c>
      <c r="GQ17" s="419">
        <f t="shared" si="98"/>
        <v>897.52419265643505</v>
      </c>
      <c r="GR17">
        <v>138.4</v>
      </c>
      <c r="GS17" s="419">
        <f t="shared" si="31"/>
        <v>391.85283363927635</v>
      </c>
      <c r="GU17" t="s">
        <v>305</v>
      </c>
      <c r="GV17" s="31">
        <f>SUM(GN25:GN26)</f>
        <v>11429.797550752806</v>
      </c>
      <c r="GW17" s="31">
        <f>SUM(GQ25:GQ26)</f>
        <v>11291.702955419927</v>
      </c>
      <c r="GX17" s="31">
        <f>SUM(GS25:GS26)</f>
        <v>12226.468494033777</v>
      </c>
      <c r="GZ17" s="116" t="s">
        <v>294</v>
      </c>
      <c r="HA17" s="117">
        <v>1303</v>
      </c>
      <c r="HB17" s="119">
        <v>694</v>
      </c>
      <c r="HC17" s="118">
        <v>0.53</v>
      </c>
      <c r="HD17" s="119">
        <v>74.41</v>
      </c>
      <c r="HE17" s="120">
        <v>27158</v>
      </c>
      <c r="HG17" s="121">
        <f t="shared" si="116"/>
        <v>0.94011544011544013</v>
      </c>
      <c r="HH17" s="121">
        <f t="shared" si="116"/>
        <v>0.91436100131752307</v>
      </c>
      <c r="HJ17" s="31">
        <f t="shared" si="6"/>
        <v>35.386873999999999</v>
      </c>
      <c r="HK17" s="121">
        <f t="shared" si="7"/>
        <v>8.3307762096524827E-3</v>
      </c>
      <c r="HN17" t="s">
        <v>339</v>
      </c>
      <c r="HO17" s="147">
        <v>0</v>
      </c>
      <c r="HP17" s="31">
        <f t="shared" si="32"/>
        <v>0</v>
      </c>
      <c r="HQ17">
        <v>4</v>
      </c>
      <c r="HR17">
        <f t="shared" si="74"/>
        <v>0.04</v>
      </c>
      <c r="HS17">
        <v>0.86499999999999999</v>
      </c>
      <c r="HT17">
        <f t="shared" si="75"/>
        <v>3.4599999999999999E-2</v>
      </c>
      <c r="HU17">
        <v>43</v>
      </c>
      <c r="HV17">
        <f t="shared" si="76"/>
        <v>1.4878</v>
      </c>
      <c r="HW17">
        <v>76.416541095973002</v>
      </c>
      <c r="HX17">
        <f t="shared" si="99"/>
        <v>7.8785263264484397E-3</v>
      </c>
      <c r="HY17">
        <f t="shared" si="100"/>
        <v>9.3521034397127997E-4</v>
      </c>
      <c r="HZ17" s="31">
        <f t="shared" si="33"/>
        <v>0</v>
      </c>
      <c r="IA17" s="31">
        <f t="shared" si="77"/>
        <v>0</v>
      </c>
      <c r="IB17" s="31">
        <f t="shared" si="34"/>
        <v>0</v>
      </c>
      <c r="IC17" s="31">
        <f t="shared" si="34"/>
        <v>0</v>
      </c>
      <c r="ID17" s="655">
        <f t="shared" si="35"/>
        <v>0</v>
      </c>
      <c r="IE17">
        <v>6.34</v>
      </c>
      <c r="IF17">
        <f t="shared" si="36"/>
        <v>0</v>
      </c>
      <c r="IG17" s="419">
        <f t="shared" si="78"/>
        <v>0</v>
      </c>
      <c r="IH17">
        <v>138.4</v>
      </c>
      <c r="II17" s="419">
        <f t="shared" si="37"/>
        <v>0</v>
      </c>
      <c r="IK17" t="s">
        <v>305</v>
      </c>
      <c r="IL17" s="31">
        <f>SUM(ID25:ID26)</f>
        <v>12715.256114665463</v>
      </c>
      <c r="IM17" s="31">
        <f>SUM(IG25:IG26)</f>
        <v>12556.994695863714</v>
      </c>
      <c r="IN17" s="31">
        <f>SUM(II25:II26)</f>
        <v>13557.09178526335</v>
      </c>
      <c r="IP17" s="635" t="s">
        <v>294</v>
      </c>
      <c r="IQ17" s="626">
        <v>1346</v>
      </c>
      <c r="IR17" s="628">
        <v>708</v>
      </c>
      <c r="IS17" s="627">
        <v>0.53</v>
      </c>
      <c r="IT17" s="628">
        <v>77.06</v>
      </c>
      <c r="IU17" s="636">
        <v>28128</v>
      </c>
      <c r="IW17" s="121">
        <f t="shared" si="117"/>
        <v>0.9295580110497238</v>
      </c>
      <c r="IX17" s="121">
        <f t="shared" si="118"/>
        <v>0.91354838709677422</v>
      </c>
      <c r="IZ17" s="31">
        <f t="shared" si="8"/>
        <v>37.860287999999997</v>
      </c>
      <c r="JA17" s="121">
        <f t="shared" si="9"/>
        <v>8.9130672169853535E-3</v>
      </c>
      <c r="JD17" t="s">
        <v>339</v>
      </c>
      <c r="JE17" s="147">
        <v>0</v>
      </c>
      <c r="JF17" s="31">
        <f t="shared" si="38"/>
        <v>0</v>
      </c>
      <c r="JG17">
        <v>4</v>
      </c>
      <c r="JH17">
        <f t="shared" si="79"/>
        <v>0.04</v>
      </c>
      <c r="JI17">
        <v>0.86499999999999999</v>
      </c>
      <c r="JJ17">
        <f t="shared" si="80"/>
        <v>3.4599999999999999E-2</v>
      </c>
      <c r="JK17">
        <v>43</v>
      </c>
      <c r="JL17">
        <f t="shared" si="81"/>
        <v>1.4878</v>
      </c>
      <c r="JM17">
        <v>76.416541095973002</v>
      </c>
      <c r="JN17">
        <f t="shared" si="101"/>
        <v>7.8785263264484397E-3</v>
      </c>
      <c r="JO17">
        <f t="shared" si="102"/>
        <v>9.3521034397127997E-4</v>
      </c>
      <c r="JP17" s="31">
        <f t="shared" si="39"/>
        <v>0</v>
      </c>
      <c r="JQ17" s="31">
        <f t="shared" si="82"/>
        <v>0</v>
      </c>
      <c r="JR17" s="31">
        <f t="shared" si="40"/>
        <v>0</v>
      </c>
      <c r="JS17" s="31">
        <f t="shared" si="40"/>
        <v>0</v>
      </c>
      <c r="JT17" s="655">
        <f t="shared" si="41"/>
        <v>0</v>
      </c>
      <c r="JU17">
        <v>6.34</v>
      </c>
      <c r="JV17">
        <f t="shared" si="42"/>
        <v>0</v>
      </c>
      <c r="JW17" s="419">
        <f t="shared" si="83"/>
        <v>0</v>
      </c>
      <c r="JX17">
        <v>137</v>
      </c>
      <c r="JY17" s="419">
        <f t="shared" si="43"/>
        <v>0</v>
      </c>
      <c r="KA17" t="s">
        <v>305</v>
      </c>
      <c r="KB17" s="31">
        <f>SUM(JT25:JT26)</f>
        <v>12519.904631562322</v>
      </c>
      <c r="KC17" s="31">
        <f>SUM(JW25:JW26)</f>
        <v>12368.536285273143</v>
      </c>
      <c r="KD17" s="31">
        <f>SUM(JY25:JY26)</f>
        <v>13391.569231600095</v>
      </c>
      <c r="KF17" t="s">
        <v>305</v>
      </c>
      <c r="KG17" s="31">
        <f t="shared" si="103"/>
        <v>12178.392202640276</v>
      </c>
      <c r="KH17" s="31">
        <f t="shared" si="104"/>
        <v>12031.152815246904</v>
      </c>
      <c r="KI17" s="31">
        <f t="shared" si="105"/>
        <v>13026.279920702942</v>
      </c>
      <c r="KK17" t="s">
        <v>305</v>
      </c>
      <c r="KL17" s="31">
        <f t="shared" si="106"/>
        <v>11276.004145473029</v>
      </c>
      <c r="KM17" s="31">
        <f t="shared" si="107"/>
        <v>11139.674824245829</v>
      </c>
      <c r="KN17" s="31">
        <f t="shared" si="108"/>
        <v>12061.06552834568</v>
      </c>
    </row>
    <row r="18" spans="1:300" ht="16.5" customHeight="1" thickBot="1" x14ac:dyDescent="0.8">
      <c r="A18" s="1161"/>
      <c r="B18" s="341" t="s">
        <v>319</v>
      </c>
      <c r="C18" s="342">
        <v>38566</v>
      </c>
      <c r="D18" s="343">
        <v>40513</v>
      </c>
      <c r="E18" s="344">
        <v>39439.63451437137</v>
      </c>
      <c r="F18" s="345">
        <v>118518.63451437137</v>
      </c>
      <c r="G18" s="382">
        <v>921323.80025215249</v>
      </c>
      <c r="H18" s="347"/>
      <c r="I18" s="339"/>
      <c r="J18" s="339"/>
      <c r="K18" s="339"/>
      <c r="L18" s="339"/>
      <c r="M18" s="503"/>
      <c r="O18" s="206">
        <v>2012</v>
      </c>
      <c r="Q18" s="95">
        <v>4.235182</v>
      </c>
      <c r="R18" s="656">
        <f t="shared" ref="R18:R26" si="122">Q18*365*0.65</f>
        <v>1004.7969295</v>
      </c>
      <c r="S18" s="93">
        <f t="shared" ref="S18:S26" si="123">Q18/0.16</f>
        <v>26.469887499999999</v>
      </c>
      <c r="T18" s="93">
        <f>S18/0.0194</f>
        <v>1364.4271907216494</v>
      </c>
      <c r="U18" s="656">
        <f>T18*$U$16</f>
        <v>886.87767396907213</v>
      </c>
      <c r="V18" s="25">
        <f t="shared" ref="V18:V24" si="124">V19/(1+P19)</f>
        <v>978611.36711768457</v>
      </c>
      <c r="W18">
        <f>V18/10^6*$W$16</f>
        <v>4.8636984945748925</v>
      </c>
      <c r="X18" s="419">
        <f>W18/$S$16/$T$16*$U$16</f>
        <v>1018.4935636190979</v>
      </c>
      <c r="Y18" s="25">
        <f t="shared" ref="Y18:Y24" si="125">Y19/(1+P19)</f>
        <v>802523.05357908434</v>
      </c>
      <c r="Z18">
        <f t="shared" ref="Z18:Z29" si="126">Y18/10^6*$Y$63</f>
        <v>4.0837831026271205</v>
      </c>
      <c r="AA18" s="25">
        <f t="shared" ref="AA18:AA29" si="127">Z18*315</f>
        <v>1286.391677327543</v>
      </c>
      <c r="AB18" s="419">
        <f t="shared" ref="AB18:AB29" si="128">AA18*$AB$16</f>
        <v>836.15459026290296</v>
      </c>
      <c r="AC18" s="419"/>
      <c r="AD18" s="419"/>
      <c r="AE18" s="419"/>
      <c r="AF18" s="419"/>
      <c r="AG18" s="796" t="s">
        <v>297</v>
      </c>
      <c r="AH18" s="798">
        <v>1943</v>
      </c>
      <c r="AI18" s="796">
        <v>1154</v>
      </c>
      <c r="AJ18" s="797">
        <v>0.59</v>
      </c>
      <c r="AK18" s="796">
        <v>124.74</v>
      </c>
      <c r="AL18" s="803">
        <v>45530</v>
      </c>
      <c r="AM18" s="419"/>
      <c r="AN18" s="121">
        <f t="shared" si="119"/>
        <v>0.99692149820420728</v>
      </c>
      <c r="AO18" s="121">
        <f t="shared" si="120"/>
        <v>0.99226139294926918</v>
      </c>
      <c r="AP18">
        <f t="shared" si="11"/>
        <v>88.464789999999994</v>
      </c>
      <c r="AR18" s="121">
        <f t="shared" si="12"/>
        <v>1.7801604309944666E-2</v>
      </c>
      <c r="AS18" s="419"/>
      <c r="AU18" t="s">
        <v>339</v>
      </c>
      <c r="AV18" s="147">
        <f>AR27</f>
        <v>3.5049563627502197E-3</v>
      </c>
      <c r="AW18" s="31">
        <f t="shared" si="44"/>
        <v>4.9470881569798779</v>
      </c>
      <c r="AX18">
        <v>4</v>
      </c>
      <c r="AY18">
        <f t="shared" si="45"/>
        <v>0.04</v>
      </c>
      <c r="AZ18">
        <v>0.86499999999999999</v>
      </c>
      <c r="BA18">
        <f t="shared" si="46"/>
        <v>3.4599999999999999E-2</v>
      </c>
      <c r="BB18">
        <v>43</v>
      </c>
      <c r="BC18">
        <f t="shared" si="47"/>
        <v>1.4878</v>
      </c>
      <c r="BD18">
        <v>73.510933419407607</v>
      </c>
      <c r="BE18">
        <v>5.406312413867E-5</v>
      </c>
      <c r="BF18">
        <v>2.5456284629589302E-3</v>
      </c>
      <c r="BG18" s="31">
        <f t="shared" si="48"/>
        <v>7.3602777599546627</v>
      </c>
      <c r="BH18" s="31">
        <f t="shared" si="89"/>
        <v>541.06088836037372</v>
      </c>
      <c r="BI18" s="31">
        <f t="shared" si="49"/>
        <v>3.9791961023152086E-4</v>
      </c>
      <c r="BJ18" s="31">
        <f t="shared" si="17"/>
        <v>1.8736532561024186E-2</v>
      </c>
      <c r="BK18" s="655">
        <f t="shared" si="109"/>
        <v>546.03721123813159</v>
      </c>
      <c r="BL18">
        <v>6.34</v>
      </c>
      <c r="BM18">
        <f t="shared" si="84"/>
        <v>1254581.5566100972</v>
      </c>
      <c r="BN18" s="419">
        <f t="shared" si="50"/>
        <v>1254.5815566100971</v>
      </c>
      <c r="BO18">
        <v>138.4</v>
      </c>
      <c r="BP18" s="419">
        <f t="shared" si="51"/>
        <v>684.67700092601513</v>
      </c>
      <c r="BQ18" s="419"/>
      <c r="BR18" s="419"/>
      <c r="BS18" t="s">
        <v>308</v>
      </c>
      <c r="BT18" s="31">
        <f>SUM(BK28:BK29)</f>
        <v>38005.131421040096</v>
      </c>
      <c r="BU18" s="31">
        <f>SUM(BN28:BN29)</f>
        <v>37310.827208422554</v>
      </c>
      <c r="BV18" s="31">
        <f>SUM(BP28:BP29)</f>
        <v>40687.981694832473</v>
      </c>
      <c r="BW18" s="31"/>
      <c r="BZ18" s="419"/>
      <c r="CB18" s="796" t="s">
        <v>297</v>
      </c>
      <c r="CC18" s="798">
        <v>1816</v>
      </c>
      <c r="CD18" s="796">
        <v>1007</v>
      </c>
      <c r="CE18" s="797">
        <v>0.55000000000000004</v>
      </c>
      <c r="CF18" s="796">
        <v>118.17</v>
      </c>
      <c r="CG18" s="803">
        <v>43130</v>
      </c>
      <c r="CI18" s="121">
        <f t="shared" si="113"/>
        <v>0.98268398268398272</v>
      </c>
      <c r="CJ18" s="121">
        <f t="shared" si="113"/>
        <v>0.99505928853754944</v>
      </c>
      <c r="CL18" s="31">
        <f t="shared" si="110"/>
        <v>78.324079999999995</v>
      </c>
      <c r="CM18" s="121">
        <f t="shared" si="1"/>
        <v>1.5940934999050221E-2</v>
      </c>
      <c r="CP18" t="s">
        <v>340</v>
      </c>
      <c r="CQ18" s="147">
        <f>CM28</f>
        <v>4.5245488314478834E-3</v>
      </c>
      <c r="CR18" s="31">
        <f t="shared" si="52"/>
        <v>6.1053508960998721</v>
      </c>
      <c r="CS18">
        <v>3</v>
      </c>
      <c r="CT18">
        <f t="shared" si="53"/>
        <v>0.03</v>
      </c>
      <c r="CU18">
        <v>0.75</v>
      </c>
      <c r="CV18">
        <f t="shared" si="54"/>
        <v>2.2499999999999999E-2</v>
      </c>
      <c r="CW18">
        <v>44.3</v>
      </c>
      <c r="CX18">
        <f t="shared" si="55"/>
        <v>0.99674999999999991</v>
      </c>
      <c r="CY18">
        <v>70.9769741921898</v>
      </c>
      <c r="CZ18">
        <v>7.3169105356480999E-3</v>
      </c>
      <c r="DA18">
        <v>6.0998104818480998E-4</v>
      </c>
      <c r="DB18" s="31">
        <f t="shared" si="56"/>
        <v>6.0855085056875469</v>
      </c>
      <c r="DC18" s="31">
        <f>$DB18*CY18</f>
        <v>431.93098015453654</v>
      </c>
      <c r="DD18" s="31">
        <f>$DB18*CZ18</f>
        <v>4.4527121300041335E-2</v>
      </c>
      <c r="DE18" s="31">
        <f>$DB18*DA18</f>
        <v>3.7120448570368667E-3</v>
      </c>
      <c r="DF18" s="655">
        <f t="shared" si="60"/>
        <v>434.16143143805249</v>
      </c>
      <c r="DG18">
        <v>2.34</v>
      </c>
      <c r="DH18">
        <f t="shared" si="61"/>
        <v>428595.63290621102</v>
      </c>
      <c r="DI18" s="419">
        <f t="shared" si="62"/>
        <v>428.59563290621099</v>
      </c>
      <c r="DJ18">
        <v>2</v>
      </c>
      <c r="DK18" s="419">
        <f t="shared" si="63"/>
        <v>12.210701792199744</v>
      </c>
      <c r="DM18" t="s">
        <v>308</v>
      </c>
      <c r="DN18" s="31">
        <f>SUM(DF27:DF28)</f>
        <v>41812.066497615582</v>
      </c>
      <c r="DO18" s="31">
        <f>SUM(DI27:DI28)</f>
        <v>40819.603901127586</v>
      </c>
      <c r="DP18" s="31">
        <f>SUM(DK27:DK28)</f>
        <v>44503.481067138418</v>
      </c>
      <c r="DS18" s="735" t="s">
        <v>297</v>
      </c>
      <c r="DT18" s="737">
        <v>1740</v>
      </c>
      <c r="DU18" s="735">
        <v>873</v>
      </c>
      <c r="DV18" s="736">
        <v>0.5</v>
      </c>
      <c r="DW18" s="735">
        <v>83.22</v>
      </c>
      <c r="DX18" s="737">
        <v>30376</v>
      </c>
      <c r="DZ18" s="121">
        <f t="shared" si="114"/>
        <v>0.98194130925507905</v>
      </c>
      <c r="EA18" s="121">
        <f t="shared" si="114"/>
        <v>0.99430523917995439</v>
      </c>
      <c r="EC18" s="31">
        <f t="shared" si="111"/>
        <v>52.854239999999997</v>
      </c>
      <c r="ED18" s="121">
        <f t="shared" si="3"/>
        <v>1.2683066013002835E-2</v>
      </c>
      <c r="EG18" t="s">
        <v>340</v>
      </c>
      <c r="EH18" s="147">
        <f t="shared" si="121"/>
        <v>4.7949901783664898E-3</v>
      </c>
      <c r="EI18" s="31">
        <f t="shared" si="64"/>
        <v>5.2299475301789204</v>
      </c>
      <c r="EJ18">
        <v>3</v>
      </c>
      <c r="EK18">
        <f t="shared" si="65"/>
        <v>0.03</v>
      </c>
      <c r="EL18">
        <v>0.75</v>
      </c>
      <c r="EM18">
        <f t="shared" si="66"/>
        <v>2.2499999999999999E-2</v>
      </c>
      <c r="EN18">
        <v>44.3</v>
      </c>
      <c r="EO18">
        <f t="shared" si="67"/>
        <v>0.99674999999999991</v>
      </c>
      <c r="EP18">
        <v>70.9769741921898</v>
      </c>
      <c r="EQ18">
        <v>7.3169105356480999E-3</v>
      </c>
      <c r="ER18">
        <v>6.0998104818480998E-4</v>
      </c>
      <c r="ES18" s="31">
        <f t="shared" si="18"/>
        <v>5.2129502007058388</v>
      </c>
      <c r="ET18" s="31">
        <f>$ES18*EP18</f>
        <v>369.99943186066895</v>
      </c>
      <c r="EU18" s="31">
        <f t="shared" si="20"/>
        <v>3.8142690245353432E-2</v>
      </c>
      <c r="EV18" s="31">
        <f t="shared" si="21"/>
        <v>3.179800827561763E-3</v>
      </c>
      <c r="EW18" s="655">
        <f t="shared" si="22"/>
        <v>371.91007440684268</v>
      </c>
      <c r="EX18">
        <v>2.34</v>
      </c>
      <c r="EY18">
        <f t="shared" si="23"/>
        <v>367142.31661856023</v>
      </c>
      <c r="EZ18" s="419">
        <f t="shared" si="68"/>
        <v>367.14231661856024</v>
      </c>
      <c r="FA18">
        <v>2</v>
      </c>
      <c r="FB18" s="419">
        <f t="shared" si="24"/>
        <v>10.459895060357841</v>
      </c>
      <c r="FD18" t="s">
        <v>308</v>
      </c>
      <c r="FE18" s="31">
        <f>SUM(EW27:EW28)</f>
        <v>27843.934812337633</v>
      </c>
      <c r="FF18" s="31">
        <f>SUM(EZ27:EZ28)</f>
        <v>27185.004815082499</v>
      </c>
      <c r="FG18" s="31">
        <f>SUM(FB27:FB28)</f>
        <v>29569.30132592691</v>
      </c>
      <c r="FJ18" s="637" t="s">
        <v>297</v>
      </c>
      <c r="FK18" s="631">
        <v>1720</v>
      </c>
      <c r="FL18" s="629">
        <v>790</v>
      </c>
      <c r="FM18" s="630">
        <v>0.46</v>
      </c>
      <c r="FN18" s="629">
        <v>113.91</v>
      </c>
      <c r="FO18" s="638">
        <v>41576</v>
      </c>
      <c r="FQ18" s="121">
        <f t="shared" si="115"/>
        <v>0.98341909662664384</v>
      </c>
      <c r="FR18" s="121">
        <f t="shared" si="115"/>
        <v>0.99371069182389937</v>
      </c>
      <c r="FT18" s="31">
        <f t="shared" si="112"/>
        <v>71.510720000000006</v>
      </c>
      <c r="FU18" s="121">
        <f t="shared" si="5"/>
        <v>1.7159932342180346E-2</v>
      </c>
      <c r="FX18" t="s">
        <v>340</v>
      </c>
      <c r="FY18" s="147">
        <f>FU28</f>
        <v>5.027254279090323E-3</v>
      </c>
      <c r="FZ18" s="31">
        <f t="shared" si="25"/>
        <v>5.0137020718287379</v>
      </c>
      <c r="GA18">
        <v>3</v>
      </c>
      <c r="GB18">
        <f t="shared" ref="GB18:GB28" si="129">GA18/100</f>
        <v>0.03</v>
      </c>
      <c r="GC18">
        <v>0.75</v>
      </c>
      <c r="GD18">
        <f t="shared" ref="GD18:GD28" si="130">GC18*GB18</f>
        <v>2.2499999999999999E-2</v>
      </c>
      <c r="GE18">
        <v>44.3</v>
      </c>
      <c r="GF18">
        <f t="shared" ref="GF18:GF28" si="131">GE18*GD18</f>
        <v>0.99674999999999991</v>
      </c>
      <c r="GG18">
        <v>72.416541095972974</v>
      </c>
      <c r="GH18">
        <f>7.87852632644844/1000</f>
        <v>7.8785263264484397E-3</v>
      </c>
      <c r="GI18">
        <f>0.93521034397128/1000</f>
        <v>9.3521034397127997E-4</v>
      </c>
      <c r="GJ18" s="31">
        <f t="shared" si="26"/>
        <v>4.9974075400952938</v>
      </c>
      <c r="GK18" s="31">
        <f t="shared" si="27"/>
        <v>361.89496850063603</v>
      </c>
      <c r="GL18" s="31">
        <f t="shared" si="28"/>
        <v>3.9372206868632707E-2</v>
      </c>
      <c r="GM18" s="31">
        <f t="shared" si="29"/>
        <v>4.673627224537188E-3</v>
      </c>
      <c r="GN18" s="655">
        <f t="shared" si="72"/>
        <v>364.23590150746008</v>
      </c>
      <c r="GO18">
        <v>2.34</v>
      </c>
      <c r="GP18">
        <f t="shared" si="30"/>
        <v>351961.88544237736</v>
      </c>
      <c r="GQ18" s="419">
        <f t="shared" ref="GQ18:GQ28" si="132">GP18/1000</f>
        <v>351.96188544237737</v>
      </c>
      <c r="GR18">
        <v>2</v>
      </c>
      <c r="GS18" s="419">
        <f t="shared" si="31"/>
        <v>10.027404143657474</v>
      </c>
      <c r="GU18" t="s">
        <v>308</v>
      </c>
      <c r="GV18" s="31">
        <f>SUM(GN27:GN28)</f>
        <v>23602.504209326129</v>
      </c>
      <c r="GW18" s="31">
        <f>SUM(GQ27:GQ28)</f>
        <v>23294.34375783963</v>
      </c>
      <c r="GX18" s="31">
        <f>SUM(GS27:GS28)</f>
        <v>25346.142778571444</v>
      </c>
      <c r="GZ18" s="133" t="s">
        <v>297</v>
      </c>
      <c r="HA18" s="156">
        <v>1765</v>
      </c>
      <c r="HB18" s="134">
        <v>983</v>
      </c>
      <c r="HC18" s="135">
        <v>0.56000000000000005</v>
      </c>
      <c r="HD18" s="134">
        <v>127.72</v>
      </c>
      <c r="HE18" s="136">
        <v>46616</v>
      </c>
      <c r="HG18" s="121">
        <f t="shared" si="116"/>
        <v>0.9849330357142857</v>
      </c>
      <c r="HH18" s="121">
        <f t="shared" si="116"/>
        <v>0.99493927125506076</v>
      </c>
      <c r="HJ18" s="31">
        <f t="shared" si="6"/>
        <v>82.277240000000006</v>
      </c>
      <c r="HK18" s="121">
        <f t="shared" si="7"/>
        <v>1.9369703963901069E-2</v>
      </c>
      <c r="HN18" t="s">
        <v>340</v>
      </c>
      <c r="HO18" s="147">
        <v>0</v>
      </c>
      <c r="HP18" s="31">
        <f t="shared" si="32"/>
        <v>0</v>
      </c>
      <c r="HQ18">
        <v>3</v>
      </c>
      <c r="HR18">
        <f t="shared" ref="HR18:HR28" si="133">HQ18/100</f>
        <v>0.03</v>
      </c>
      <c r="HS18">
        <v>0.75</v>
      </c>
      <c r="HT18">
        <f t="shared" ref="HT18:HT28" si="134">HS18*HR18</f>
        <v>2.2499999999999999E-2</v>
      </c>
      <c r="HU18">
        <v>44.3</v>
      </c>
      <c r="HV18">
        <f t="shared" ref="HV18:HV28" si="135">HU18*HT18</f>
        <v>0.99674999999999991</v>
      </c>
      <c r="HW18">
        <v>72.416541095972974</v>
      </c>
      <c r="HX18">
        <f>7.87852632644844/1000</f>
        <v>7.8785263264484397E-3</v>
      </c>
      <c r="HY18">
        <f>0.93521034397128/1000</f>
        <v>9.3521034397127997E-4</v>
      </c>
      <c r="HZ18" s="31">
        <f t="shared" si="33"/>
        <v>0</v>
      </c>
      <c r="IA18" s="31">
        <f t="shared" si="77"/>
        <v>0</v>
      </c>
      <c r="IB18" s="31">
        <f t="shared" si="34"/>
        <v>0</v>
      </c>
      <c r="IC18" s="31">
        <f t="shared" si="34"/>
        <v>0</v>
      </c>
      <c r="ID18" s="655">
        <f t="shared" si="35"/>
        <v>0</v>
      </c>
      <c r="IE18">
        <v>2.34</v>
      </c>
      <c r="IF18">
        <f t="shared" si="36"/>
        <v>0</v>
      </c>
      <c r="IG18" s="419">
        <f t="shared" ref="IG18:IG28" si="136">IF18/1000</f>
        <v>0</v>
      </c>
      <c r="IH18">
        <v>2</v>
      </c>
      <c r="II18" s="419">
        <f t="shared" si="37"/>
        <v>0</v>
      </c>
      <c r="IK18" t="s">
        <v>308</v>
      </c>
      <c r="IL18" s="31">
        <f>SUM(ID27:ID28)</f>
        <v>27003.086132468859</v>
      </c>
      <c r="IM18" s="31">
        <f>SUM(IG27:IG28)</f>
        <v>26646.218488871713</v>
      </c>
      <c r="IN18" s="31">
        <f>SUM(II27:II28)</f>
        <v>28957.538247758403</v>
      </c>
      <c r="IP18" s="637" t="s">
        <v>297</v>
      </c>
      <c r="IQ18" s="631">
        <v>1723</v>
      </c>
      <c r="IR18" s="629">
        <v>946</v>
      </c>
      <c r="IS18" s="630">
        <v>0.55000000000000004</v>
      </c>
      <c r="IT18" s="629">
        <v>128.30000000000001</v>
      </c>
      <c r="IU18" s="638">
        <v>46829</v>
      </c>
      <c r="IW18" s="121">
        <f t="shared" si="117"/>
        <v>0.98457142857142854</v>
      </c>
      <c r="IX18" s="121">
        <f t="shared" si="118"/>
        <v>0.99474237644584651</v>
      </c>
      <c r="IZ18" s="31">
        <f t="shared" si="8"/>
        <v>80.686367000000004</v>
      </c>
      <c r="JA18" s="121">
        <f t="shared" si="9"/>
        <v>1.8995180717202916E-2</v>
      </c>
      <c r="JD18" t="s">
        <v>340</v>
      </c>
      <c r="JE18" s="147">
        <v>0</v>
      </c>
      <c r="JF18" s="31">
        <f t="shared" si="38"/>
        <v>0</v>
      </c>
      <c r="JG18">
        <v>3</v>
      </c>
      <c r="JH18">
        <f t="shared" ref="JH18:JH28" si="137">JG18/100</f>
        <v>0.03</v>
      </c>
      <c r="JI18">
        <v>0.75</v>
      </c>
      <c r="JJ18">
        <f t="shared" ref="JJ18:JJ28" si="138">JI18*JH18</f>
        <v>2.2499999999999999E-2</v>
      </c>
      <c r="JK18">
        <v>44.3</v>
      </c>
      <c r="JL18">
        <f t="shared" ref="JL18:JL28" si="139">JK18*JJ18</f>
        <v>0.99674999999999991</v>
      </c>
      <c r="JM18">
        <v>72.416541095972974</v>
      </c>
      <c r="JN18">
        <f>7.87852632644844/1000</f>
        <v>7.8785263264484397E-3</v>
      </c>
      <c r="JO18">
        <f>0.93521034397128/1000</f>
        <v>9.3521034397127997E-4</v>
      </c>
      <c r="JP18" s="31">
        <f t="shared" si="39"/>
        <v>0</v>
      </c>
      <c r="JQ18" s="31">
        <f t="shared" si="82"/>
        <v>0</v>
      </c>
      <c r="JR18" s="31">
        <f t="shared" si="40"/>
        <v>0</v>
      </c>
      <c r="JS18" s="31">
        <f t="shared" si="40"/>
        <v>0</v>
      </c>
      <c r="JT18" s="655">
        <f t="shared" si="41"/>
        <v>0</v>
      </c>
      <c r="JU18">
        <v>2.34</v>
      </c>
      <c r="JV18">
        <f t="shared" si="42"/>
        <v>0</v>
      </c>
      <c r="JW18" s="419">
        <f t="shared" ref="JW18:JW28" si="140">JV18/1000</f>
        <v>0</v>
      </c>
      <c r="JX18">
        <v>2.6</v>
      </c>
      <c r="JY18" s="419">
        <f t="shared" si="43"/>
        <v>0</v>
      </c>
      <c r="KA18" t="s">
        <v>308</v>
      </c>
      <c r="KB18" s="31">
        <f>SUM(JT27:JT28)</f>
        <v>26363.560513326087</v>
      </c>
      <c r="KC18" s="31">
        <f>SUM(JW27:JW28)</f>
        <v>26019.548116117952</v>
      </c>
      <c r="KD18" s="31">
        <f>SUM(JY27:JY28)</f>
        <v>28313.021253970761</v>
      </c>
      <c r="KF18" t="s">
        <v>308</v>
      </c>
      <c r="KG18" s="31">
        <f t="shared" si="103"/>
        <v>25644.42695353508</v>
      </c>
      <c r="KH18" s="31">
        <f t="shared" si="104"/>
        <v>25309.79837455937</v>
      </c>
      <c r="KI18" s="31">
        <f t="shared" si="105"/>
        <v>27540.711165107212</v>
      </c>
      <c r="KK18" t="s">
        <v>308</v>
      </c>
      <c r="KL18" s="31">
        <f t="shared" si="106"/>
        <v>23744.239783446166</v>
      </c>
      <c r="KM18" s="31">
        <f t="shared" si="107"/>
        <v>23434.406335734915</v>
      </c>
      <c r="KN18" s="31">
        <f t="shared" si="108"/>
        <v>25500.014131561402</v>
      </c>
    </row>
    <row r="19" spans="1:300" ht="16.5" customHeight="1" thickBot="1" x14ac:dyDescent="0.8">
      <c r="A19" s="1161"/>
      <c r="B19" s="341" t="s">
        <v>321</v>
      </c>
      <c r="C19" s="342">
        <v>41254</v>
      </c>
      <c r="D19" s="343">
        <v>41184</v>
      </c>
      <c r="E19" s="344">
        <v>38954</v>
      </c>
      <c r="F19" s="345">
        <v>121392</v>
      </c>
      <c r="G19" s="382">
        <v>1042715.8002521525</v>
      </c>
      <c r="H19" s="324"/>
      <c r="I19" s="348"/>
      <c r="J19" s="348"/>
      <c r="K19" s="348"/>
      <c r="L19" s="348"/>
      <c r="M19" s="504"/>
      <c r="O19" s="206">
        <v>2013</v>
      </c>
      <c r="P19" s="160">
        <f>M127</f>
        <v>2.8204394465260352E-2</v>
      </c>
      <c r="Q19" s="95">
        <f>Q18*(1+P19)</f>
        <v>4.3546327437601704</v>
      </c>
      <c r="R19" s="656">
        <f t="shared" si="122"/>
        <v>1033.1366184571004</v>
      </c>
      <c r="S19" s="93">
        <f t="shared" si="123"/>
        <v>27.216454648501063</v>
      </c>
      <c r="T19" s="93">
        <f t="shared" ref="T19:T25" si="141">S19/0.0194</f>
        <v>1402.9100334278899</v>
      </c>
      <c r="U19" s="656">
        <f t="shared" ref="U19:U25" si="142">T19*$U$16</f>
        <v>911.8915217281284</v>
      </c>
      <c r="V19" s="25">
        <f t="shared" si="124"/>
        <v>1006212.5081440595</v>
      </c>
      <c r="W19">
        <f t="shared" ref="W19:W24" si="143">V19/10^6*$W$16</f>
        <v>5.000876165475975</v>
      </c>
      <c r="X19" s="419">
        <f t="shared" ref="X19:X29" si="144">W19/$S$16/$T$16*$U$16</f>
        <v>1047.2195578477397</v>
      </c>
      <c r="Y19" s="25">
        <f t="shared" si="125"/>
        <v>825157.73034969415</v>
      </c>
      <c r="Z19">
        <f t="shared" si="126"/>
        <v>4.1989637321641808</v>
      </c>
      <c r="AA19" s="25">
        <f t="shared" si="127"/>
        <v>1322.6735756317169</v>
      </c>
      <c r="AB19" s="419">
        <f t="shared" si="128"/>
        <v>859.73782416061601</v>
      </c>
      <c r="AC19" s="419"/>
      <c r="AD19" s="419"/>
      <c r="AE19" s="419"/>
      <c r="AF19" s="419"/>
      <c r="AG19" s="795" t="s">
        <v>301</v>
      </c>
      <c r="AH19" s="793">
        <v>26534</v>
      </c>
      <c r="AI19" s="793">
        <v>16109</v>
      </c>
      <c r="AJ19" s="794">
        <v>0.61</v>
      </c>
      <c r="AK19" s="795">
        <v>44.88</v>
      </c>
      <c r="AL19" s="802">
        <v>16381</v>
      </c>
      <c r="AM19" s="419"/>
      <c r="AN19" s="121">
        <f t="shared" si="119"/>
        <v>0.81731095025411982</v>
      </c>
      <c r="AO19" s="121">
        <f t="shared" si="120"/>
        <v>0.83414457332228664</v>
      </c>
      <c r="AP19">
        <f t="shared" si="11"/>
        <v>434.65345400000001</v>
      </c>
      <c r="AR19" s="121">
        <f t="shared" si="12"/>
        <v>8.7464501979360801E-2</v>
      </c>
      <c r="AS19" s="419"/>
      <c r="AT19" t="s">
        <v>309</v>
      </c>
      <c r="AU19" t="s">
        <v>340</v>
      </c>
      <c r="AV19" s="147">
        <f>AR28</f>
        <v>7.1411939578620138E-4</v>
      </c>
      <c r="AW19" s="31">
        <f t="shared" si="44"/>
        <v>1.0079473864808595</v>
      </c>
      <c r="AX19">
        <v>3</v>
      </c>
      <c r="AY19">
        <f t="shared" si="45"/>
        <v>0.03</v>
      </c>
      <c r="AZ19">
        <v>0.75</v>
      </c>
      <c r="BA19">
        <f t="shared" si="46"/>
        <v>2.2499999999999999E-2</v>
      </c>
      <c r="BB19">
        <v>44.3</v>
      </c>
      <c r="BC19">
        <f t="shared" si="47"/>
        <v>0.99674999999999991</v>
      </c>
      <c r="BD19">
        <v>72.335002492541093</v>
      </c>
      <c r="BE19">
        <v>7.1637159556547196E-3</v>
      </c>
      <c r="BF19">
        <v>4.7891015874360001E-4</v>
      </c>
      <c r="BG19" s="31">
        <f t="shared" si="48"/>
        <v>1.0046715574747966</v>
      </c>
      <c r="BH19" s="31">
        <f t="shared" si="89"/>
        <v>72.672919614124552</v>
      </c>
      <c r="BI19" s="31">
        <f t="shared" si="49"/>
        <v>7.1971816664746779E-3</v>
      </c>
      <c r="BJ19" s="31">
        <f t="shared" si="17"/>
        <v>4.8114741507543471E-4</v>
      </c>
      <c r="BK19" s="655">
        <f t="shared" si="109"/>
        <v>73.001944765780834</v>
      </c>
      <c r="BL19">
        <v>2.34</v>
      </c>
      <c r="BM19">
        <f t="shared" si="84"/>
        <v>70757.90653095633</v>
      </c>
      <c r="BN19" s="419">
        <f t="shared" si="50"/>
        <v>70.757906530956333</v>
      </c>
      <c r="BO19">
        <v>2</v>
      </c>
      <c r="BP19" s="419">
        <f t="shared" si="51"/>
        <v>2.0158947729617189</v>
      </c>
      <c r="BQ19" s="419"/>
      <c r="BR19" s="419"/>
      <c r="BT19" s="655">
        <f>SUM(BT13:BT18)</f>
        <v>341198.53527085006</v>
      </c>
      <c r="BU19" s="655">
        <f t="shared" ref="BU19:BV19" si="145">SUM(BU13:BU18)</f>
        <v>342170.46942636441</v>
      </c>
      <c r="BV19" s="655">
        <f t="shared" si="145"/>
        <v>311239.60182758537</v>
      </c>
      <c r="BW19" s="655"/>
      <c r="BZ19" s="419"/>
      <c r="CB19" s="795" t="s">
        <v>301</v>
      </c>
      <c r="CC19" s="793">
        <v>25218</v>
      </c>
      <c r="CD19" s="793">
        <v>14625</v>
      </c>
      <c r="CE19" s="794">
        <v>0.57999999999999996</v>
      </c>
      <c r="CF19" s="795">
        <v>43.87</v>
      </c>
      <c r="CG19" s="802">
        <v>16013</v>
      </c>
      <c r="CI19" s="121">
        <f t="shared" si="113"/>
        <v>0.79085520745131244</v>
      </c>
      <c r="CJ19" s="121">
        <f t="shared" si="113"/>
        <v>0.82334065191690597</v>
      </c>
      <c r="CL19" s="31">
        <f t="shared" si="110"/>
        <v>403.815834</v>
      </c>
      <c r="CM19" s="121">
        <f t="shared" si="1"/>
        <v>8.2186754844503176E-2</v>
      </c>
      <c r="CO19" t="s">
        <v>309</v>
      </c>
      <c r="CP19" t="s">
        <v>264</v>
      </c>
      <c r="CQ19" s="147">
        <f>CM10</f>
        <v>1.08846776419679E-4</v>
      </c>
      <c r="CR19" s="31">
        <f t="shared" si="52"/>
        <v>0.14687602868434735</v>
      </c>
      <c r="CS19">
        <v>8</v>
      </c>
      <c r="CT19">
        <f t="shared" si="53"/>
        <v>0.08</v>
      </c>
      <c r="CU19">
        <v>0.86499999999999999</v>
      </c>
      <c r="CV19">
        <f t="shared" si="54"/>
        <v>6.9199999999999998E-2</v>
      </c>
      <c r="CW19">
        <v>44.3</v>
      </c>
      <c r="CX19">
        <f t="shared" si="55"/>
        <v>3.0655599999999996</v>
      </c>
      <c r="CY19">
        <v>70.9769741921898</v>
      </c>
      <c r="CZ19">
        <v>7.3169105356480999E-3</v>
      </c>
      <c r="DA19">
        <v>6.0998104818480998E-4</v>
      </c>
      <c r="DB19" s="31">
        <f t="shared" si="56"/>
        <v>0.45025727849358782</v>
      </c>
      <c r="DC19" s="31">
        <f t="shared" si="57"/>
        <v>31.957899235484998</v>
      </c>
      <c r="DD19" s="31">
        <f t="shared" si="58"/>
        <v>3.2944922247619733E-3</v>
      </c>
      <c r="DE19" s="31">
        <f t="shared" si="59"/>
        <v>2.7464840668835861E-4</v>
      </c>
      <c r="DF19" s="655">
        <f t="shared" si="60"/>
        <v>32.122926845550751</v>
      </c>
      <c r="DG19">
        <v>2.72</v>
      </c>
      <c r="DH19">
        <f t="shared" si="61"/>
        <v>31960.223841713985</v>
      </c>
      <c r="DI19" s="419">
        <f t="shared" si="62"/>
        <v>31.960223841713987</v>
      </c>
      <c r="DJ19">
        <v>271.3</v>
      </c>
      <c r="DK19" s="419">
        <f t="shared" si="63"/>
        <v>39.84746658206344</v>
      </c>
      <c r="DM19"/>
      <c r="DN19" s="655">
        <f>SUM(DN13:DN18)</f>
        <v>339943.74539936375</v>
      </c>
      <c r="DO19" s="655">
        <f t="shared" ref="DO19:DP19" si="146">SUM(DO13:DO18)</f>
        <v>340184.27952876082</v>
      </c>
      <c r="DP19" s="655">
        <f t="shared" si="146"/>
        <v>309416.67930796801</v>
      </c>
      <c r="DS19" s="732" t="s">
        <v>301</v>
      </c>
      <c r="DT19" s="733">
        <v>23912</v>
      </c>
      <c r="DU19" s="733">
        <v>13591</v>
      </c>
      <c r="DV19" s="734">
        <v>0.56999999999999995</v>
      </c>
      <c r="DW19" s="732">
        <v>37.85</v>
      </c>
      <c r="DX19" s="733">
        <v>13817</v>
      </c>
      <c r="DZ19" s="121">
        <f t="shared" si="114"/>
        <v>0.78894057870599488</v>
      </c>
      <c r="EA19" s="121">
        <f t="shared" si="114"/>
        <v>0.81315065214789994</v>
      </c>
      <c r="EC19" s="31">
        <f t="shared" si="111"/>
        <v>330.39210400000002</v>
      </c>
      <c r="ED19" s="121">
        <f t="shared" si="3"/>
        <v>7.9281905580458611E-2</v>
      </c>
      <c r="EF19" t="s">
        <v>309</v>
      </c>
      <c r="EG19" t="s">
        <v>264</v>
      </c>
      <c r="EH19" s="147">
        <f>ED10</f>
        <v>2.3695873834379304E-4</v>
      </c>
      <c r="EI19" s="31">
        <f t="shared" si="64"/>
        <v>0.25845345292816008</v>
      </c>
      <c r="EJ19">
        <v>8</v>
      </c>
      <c r="EK19">
        <f t="shared" si="65"/>
        <v>0.08</v>
      </c>
      <c r="EL19">
        <v>0.86499999999999999</v>
      </c>
      <c r="EM19">
        <f t="shared" si="66"/>
        <v>6.9199999999999998E-2</v>
      </c>
      <c r="EN19">
        <v>44.3</v>
      </c>
      <c r="EO19">
        <f t="shared" si="67"/>
        <v>3.0655599999999996</v>
      </c>
      <c r="EP19">
        <v>70.9769741921898</v>
      </c>
      <c r="EQ19">
        <v>7.3169105356480999E-3</v>
      </c>
      <c r="ER19">
        <v>6.0998104818480998E-4</v>
      </c>
      <c r="ES19" s="31">
        <f t="shared" si="18"/>
        <v>0.79230456715845032</v>
      </c>
      <c r="ET19" s="31">
        <f t="shared" si="19"/>
        <v>56.235380815559438</v>
      </c>
      <c r="EU19" s="31">
        <f t="shared" si="20"/>
        <v>5.7972216348837731E-3</v>
      </c>
      <c r="EV19" s="31">
        <f t="shared" si="21"/>
        <v>4.8329077035692369E-4</v>
      </c>
      <c r="EW19" s="655">
        <f t="shared" si="22"/>
        <v>56.525775075480766</v>
      </c>
      <c r="EX19">
        <v>2.72</v>
      </c>
      <c r="EY19">
        <f t="shared" si="23"/>
        <v>56239.471357167633</v>
      </c>
      <c r="EZ19" s="419">
        <f t="shared" si="68"/>
        <v>56.239471357167631</v>
      </c>
      <c r="FA19">
        <v>271.3</v>
      </c>
      <c r="FB19" s="419">
        <f t="shared" si="24"/>
        <v>70.118421779409843</v>
      </c>
      <c r="FE19" s="655">
        <f>SUM(FE13:FE18)</f>
        <v>283218.90292710607</v>
      </c>
      <c r="FF19" s="655">
        <f t="shared" ref="FF19:FG19" si="147">SUM(FF13:FF18)</f>
        <v>285573.40958240052</v>
      </c>
      <c r="FG19" s="655">
        <f t="shared" si="147"/>
        <v>251148.29988018735</v>
      </c>
      <c r="FJ19" s="635" t="s">
        <v>301</v>
      </c>
      <c r="FK19" s="626">
        <v>22949</v>
      </c>
      <c r="FL19" s="626">
        <v>12126</v>
      </c>
      <c r="FM19" s="627">
        <v>0.53</v>
      </c>
      <c r="FN19" s="628">
        <v>38.15</v>
      </c>
      <c r="FO19" s="636">
        <v>13925</v>
      </c>
      <c r="FQ19" s="121">
        <f t="shared" si="115"/>
        <v>0.77896201758256678</v>
      </c>
      <c r="FR19" s="121">
        <f t="shared" si="115"/>
        <v>0.79598267034265457</v>
      </c>
      <c r="FT19" s="31">
        <f t="shared" si="112"/>
        <v>319.56482499999998</v>
      </c>
      <c r="FU19" s="121">
        <f t="shared" si="5"/>
        <v>7.6683758406301913E-2</v>
      </c>
      <c r="FW19" t="s">
        <v>309</v>
      </c>
      <c r="FX19" t="s">
        <v>264</v>
      </c>
      <c r="FY19" s="147">
        <f>FU10</f>
        <v>1.4824558894126482E-4</v>
      </c>
      <c r="FZ19" s="31">
        <f t="shared" si="25"/>
        <v>0.14784595629182753</v>
      </c>
      <c r="GA19">
        <v>8</v>
      </c>
      <c r="GB19">
        <f t="shared" si="129"/>
        <v>0.08</v>
      </c>
      <c r="GC19">
        <v>0.86499999999999999</v>
      </c>
      <c r="GD19">
        <f t="shared" si="130"/>
        <v>6.9199999999999998E-2</v>
      </c>
      <c r="GE19">
        <v>44.3</v>
      </c>
      <c r="GF19">
        <f t="shared" si="131"/>
        <v>3.0655599999999996</v>
      </c>
      <c r="GG19">
        <v>72.416541095973002</v>
      </c>
      <c r="GH19">
        <f>7.87852632644844/1000</f>
        <v>7.8785263264484397E-3</v>
      </c>
      <c r="GI19">
        <f>0.93521034397128/1000</f>
        <v>9.3521034397127997E-4</v>
      </c>
      <c r="GJ19" s="31">
        <f t="shared" si="26"/>
        <v>0.45323064976997474</v>
      </c>
      <c r="GK19" s="31">
        <f t="shared" si="27"/>
        <v>32.821395975021922</v>
      </c>
      <c r="GL19" s="31">
        <f t="shared" si="28"/>
        <v>3.5707896061660783E-3</v>
      </c>
      <c r="GM19" s="31">
        <f t="shared" si="29"/>
        <v>4.238659918697048E-4</v>
      </c>
      <c r="GN19" s="655">
        <f t="shared" si="72"/>
        <v>33.033702571840038</v>
      </c>
      <c r="GO19">
        <v>2.72</v>
      </c>
      <c r="GP19">
        <f t="shared" si="30"/>
        <v>32171.280089101674</v>
      </c>
      <c r="GQ19" s="419">
        <f t="shared" si="132"/>
        <v>32.171280089101671</v>
      </c>
      <c r="GR19">
        <v>271.3</v>
      </c>
      <c r="GS19" s="419">
        <f t="shared" si="31"/>
        <v>40.110607941972809</v>
      </c>
      <c r="GV19" s="655">
        <f>SUM(GV13:GV18)</f>
        <v>260826.86854293308</v>
      </c>
      <c r="GW19" s="655">
        <f t="shared" ref="GW19:GX19" si="148">SUM(GW13:GW18)</f>
        <v>260918.4592227324</v>
      </c>
      <c r="GX19" s="655">
        <f t="shared" si="148"/>
        <v>232239.47392490742</v>
      </c>
      <c r="GZ19" s="116" t="s">
        <v>301</v>
      </c>
      <c r="HA19" s="117">
        <v>22222</v>
      </c>
      <c r="HB19" s="117">
        <v>11391</v>
      </c>
      <c r="HC19" s="118">
        <v>0.51</v>
      </c>
      <c r="HD19" s="119">
        <v>39.15</v>
      </c>
      <c r="HE19" s="120">
        <v>14288</v>
      </c>
      <c r="HG19" s="121">
        <f t="shared" si="116"/>
        <v>0.76789108123984939</v>
      </c>
      <c r="HH19" s="121">
        <f t="shared" si="116"/>
        <v>0.77258545849158977</v>
      </c>
      <c r="HJ19" s="31">
        <f t="shared" si="6"/>
        <v>317.50793599999997</v>
      </c>
      <c r="HK19" s="121">
        <f t="shared" si="7"/>
        <v>7.4747703332163865E-2</v>
      </c>
      <c r="HM19" t="s">
        <v>309</v>
      </c>
      <c r="HN19" t="s">
        <v>264</v>
      </c>
      <c r="HO19" s="147">
        <f>HK10</f>
        <v>2.0403494186185144E-4</v>
      </c>
      <c r="HP19" s="31">
        <f t="shared" si="32"/>
        <v>0.22661612786413168</v>
      </c>
      <c r="HQ19">
        <v>8</v>
      </c>
      <c r="HR19">
        <f t="shared" si="133"/>
        <v>0.08</v>
      </c>
      <c r="HS19">
        <v>0.86499999999999999</v>
      </c>
      <c r="HT19">
        <f t="shared" si="134"/>
        <v>6.9199999999999998E-2</v>
      </c>
      <c r="HU19">
        <v>44.3</v>
      </c>
      <c r="HV19">
        <f t="shared" si="135"/>
        <v>3.0655599999999996</v>
      </c>
      <c r="HW19">
        <v>73.367636682232202</v>
      </c>
      <c r="HX19">
        <f>0.06636778941357/1000</f>
        <v>6.6367789413569991E-5</v>
      </c>
      <c r="HY19">
        <f>2.52657658902305/1000</f>
        <v>2.5265765890230499E-3</v>
      </c>
      <c r="HZ19" s="31">
        <f t="shared" si="33"/>
        <v>0.69470533693516745</v>
      </c>
      <c r="IA19" s="31">
        <f t="shared" si="77"/>
        <v>50.96888876146707</v>
      </c>
      <c r="IB19" s="31">
        <f t="shared" si="34"/>
        <v>4.6106057506196381E-5</v>
      </c>
      <c r="IC19" s="31">
        <f t="shared" si="34"/>
        <v>1.7552262405697641E-3</v>
      </c>
      <c r="ID19" s="655">
        <f t="shared" si="35"/>
        <v>51.435314684828235</v>
      </c>
      <c r="IE19">
        <v>2.72</v>
      </c>
      <c r="IF19">
        <f t="shared" si="36"/>
        <v>49311.669423235064</v>
      </c>
      <c r="IG19" s="419">
        <f t="shared" si="136"/>
        <v>49.311669423235067</v>
      </c>
      <c r="IH19">
        <v>271.3</v>
      </c>
      <c r="II19" s="419">
        <f t="shared" si="37"/>
        <v>61.480955489538928</v>
      </c>
      <c r="IL19" s="655">
        <f>SUM(IL13:IL18)</f>
        <v>292951.7901128229</v>
      </c>
      <c r="IM19" s="655">
        <f t="shared" ref="IM19" si="149">SUM(IM13:IM18)</f>
        <v>287299.66889735986</v>
      </c>
      <c r="IN19" s="655">
        <f t="shared" ref="IN19" si="150">SUM(IN13:IN18)</f>
        <v>256994.88302121608</v>
      </c>
      <c r="IP19" s="635" t="s">
        <v>301</v>
      </c>
      <c r="IQ19" s="626">
        <v>21140</v>
      </c>
      <c r="IR19" s="626">
        <v>11077</v>
      </c>
      <c r="IS19" s="627">
        <v>0.52</v>
      </c>
      <c r="IT19" s="628">
        <v>39.590000000000003</v>
      </c>
      <c r="IU19" s="636">
        <v>14450</v>
      </c>
      <c r="IW19" s="121">
        <f t="shared" si="117"/>
        <v>0.75341245233258491</v>
      </c>
      <c r="IX19" s="121">
        <f t="shared" si="118"/>
        <v>0.75859471305300641</v>
      </c>
      <c r="IZ19" s="31">
        <f t="shared" si="8"/>
        <v>305.47300000000001</v>
      </c>
      <c r="JA19" s="121">
        <f t="shared" si="9"/>
        <v>7.1914439266129379E-2</v>
      </c>
      <c r="JC19" t="s">
        <v>309</v>
      </c>
      <c r="JD19" t="s">
        <v>264</v>
      </c>
      <c r="JE19" s="147">
        <f>JA10</f>
        <v>1.6235172042486156E-4</v>
      </c>
      <c r="JF19" s="31">
        <f t="shared" si="38"/>
        <v>0.17834238938978944</v>
      </c>
      <c r="JG19">
        <v>8</v>
      </c>
      <c r="JH19">
        <f t="shared" si="137"/>
        <v>0.08</v>
      </c>
      <c r="JI19">
        <v>0.86499999999999999</v>
      </c>
      <c r="JJ19">
        <f t="shared" si="138"/>
        <v>6.9199999999999998E-2</v>
      </c>
      <c r="JK19">
        <v>44.3</v>
      </c>
      <c r="JL19">
        <f t="shared" si="139"/>
        <v>3.0655599999999996</v>
      </c>
      <c r="JM19">
        <v>73.367636682232202</v>
      </c>
      <c r="JN19">
        <f>0.06636778941357/1000</f>
        <v>6.6367789413569991E-5</v>
      </c>
      <c r="JO19">
        <f>2.52657658902305/1000</f>
        <v>2.5265765890230499E-3</v>
      </c>
      <c r="JP19" s="31">
        <f t="shared" si="39"/>
        <v>0.54671929521776286</v>
      </c>
      <c r="JQ19" s="31">
        <f t="shared" si="82"/>
        <v>40.111502618702872</v>
      </c>
      <c r="JR19" s="31">
        <f t="shared" si="40"/>
        <v>3.6284551053347891E-5</v>
      </c>
      <c r="JS19" s="31">
        <f t="shared" si="40"/>
        <v>1.3813281720643812E-3</v>
      </c>
      <c r="JT19" s="655">
        <f t="shared" si="41"/>
        <v>40.478570551729426</v>
      </c>
      <c r="JU19">
        <v>2.72</v>
      </c>
      <c r="JV19">
        <f t="shared" si="42"/>
        <v>38807.303931218186</v>
      </c>
      <c r="JW19" s="419">
        <f t="shared" si="140"/>
        <v>38.807303931218186</v>
      </c>
      <c r="JX19">
        <v>271.3</v>
      </c>
      <c r="JY19" s="419">
        <f t="shared" si="43"/>
        <v>48.384290241449882</v>
      </c>
      <c r="KB19" s="655">
        <f>SUM(KB13:KB18)</f>
        <v>283647.64010407473</v>
      </c>
      <c r="KC19" s="655">
        <f t="shared" ref="KC19" si="151">SUM(KC13:KC18)</f>
        <v>281470.10098973464</v>
      </c>
      <c r="KD19" s="655">
        <f t="shared" ref="KD19" si="152">SUM(KD13:KD18)</f>
        <v>252332.40451105789</v>
      </c>
      <c r="KG19" s="655">
        <f>SUM(KG13:KG18)</f>
        <v>275910.42505486863</v>
      </c>
      <c r="KH19" s="655">
        <f t="shared" ref="KH19" si="153">SUM(KH13:KH18)</f>
        <v>273792.28389074421</v>
      </c>
      <c r="KI19" s="655">
        <f t="shared" ref="KI19" si="154">SUM(KI13:KI18)</f>
        <v>245449.39262747951</v>
      </c>
      <c r="KL19" s="655">
        <f>SUM(KL13:KL18)</f>
        <v>255466.16046931245</v>
      </c>
      <c r="KM19" s="655">
        <f t="shared" ref="KM19" si="155">SUM(KM13:KM18)</f>
        <v>253504.96820764543</v>
      </c>
      <c r="KN19" s="655">
        <f t="shared" ref="KN19" si="156">SUM(KN13:KN18)</f>
        <v>227262.21349409828</v>
      </c>
    </row>
    <row r="20" spans="1:300" ht="16.5" customHeight="1" thickBot="1" x14ac:dyDescent="0.8">
      <c r="A20" s="1161"/>
      <c r="B20" s="341" t="s">
        <v>323</v>
      </c>
      <c r="C20" s="342">
        <v>39454</v>
      </c>
      <c r="D20" s="343">
        <v>39405</v>
      </c>
      <c r="E20" s="344">
        <v>37215</v>
      </c>
      <c r="F20" s="345">
        <v>116074</v>
      </c>
      <c r="G20" s="382">
        <v>1158789.8002521526</v>
      </c>
      <c r="H20" s="324"/>
      <c r="I20" s="348"/>
      <c r="J20" s="348"/>
      <c r="K20" s="348"/>
      <c r="L20" s="348"/>
      <c r="M20" s="504"/>
      <c r="O20" s="206">
        <v>2014</v>
      </c>
      <c r="P20" s="160">
        <f>M140</f>
        <v>2.9891451882241293E-2</v>
      </c>
      <c r="Q20" s="95">
        <f t="shared" ref="Q20:Q25" si="157">Q19*(1+P20)</f>
        <v>4.48479903888511</v>
      </c>
      <c r="R20" s="656">
        <f t="shared" si="122"/>
        <v>1064.0185719754925</v>
      </c>
      <c r="S20" s="93">
        <f t="shared" si="123"/>
        <v>28.029993993031937</v>
      </c>
      <c r="T20" s="93">
        <f t="shared" si="141"/>
        <v>1444.8450511872131</v>
      </c>
      <c r="U20" s="656">
        <f t="shared" si="142"/>
        <v>939.14928327168855</v>
      </c>
      <c r="V20" s="25">
        <f t="shared" si="124"/>
        <v>1036289.6609145569</v>
      </c>
      <c r="W20">
        <f t="shared" si="143"/>
        <v>5.150359614745347</v>
      </c>
      <c r="X20" s="419">
        <f t="shared" si="144"/>
        <v>1078.5224708712874</v>
      </c>
      <c r="Y20" s="25">
        <f t="shared" si="125"/>
        <v>849822.89294170146</v>
      </c>
      <c r="Z20">
        <f t="shared" si="126"/>
        <v>4.3244768545194425</v>
      </c>
      <c r="AA20" s="25">
        <f t="shared" si="127"/>
        <v>1362.2102091736244</v>
      </c>
      <c r="AB20" s="419">
        <f t="shared" si="128"/>
        <v>885.43663596285592</v>
      </c>
      <c r="AC20" s="419"/>
      <c r="AD20" s="419"/>
      <c r="AE20" s="419"/>
      <c r="AF20" s="419"/>
      <c r="AG20" s="796" t="s">
        <v>305</v>
      </c>
      <c r="AH20" s="798">
        <v>5900</v>
      </c>
      <c r="AI20" s="798">
        <v>3600</v>
      </c>
      <c r="AJ20" s="797">
        <v>0.61</v>
      </c>
      <c r="AK20" s="796">
        <v>46.92</v>
      </c>
      <c r="AL20" s="803">
        <v>17126</v>
      </c>
      <c r="AM20" s="419"/>
      <c r="AN20" s="121">
        <f t="shared" si="119"/>
        <v>0.90546347452424802</v>
      </c>
      <c r="AO20" s="121">
        <f t="shared" si="120"/>
        <v>0.9521290663845543</v>
      </c>
      <c r="AP20">
        <f t="shared" si="11"/>
        <v>101.04340000000001</v>
      </c>
      <c r="AR20" s="121">
        <f t="shared" si="12"/>
        <v>2.033277448498395E-2</v>
      </c>
      <c r="AS20" s="419"/>
      <c r="AU20" t="s">
        <v>264</v>
      </c>
      <c r="AV20" s="147">
        <f>AR10</f>
        <v>3.0686847204826687E-4</v>
      </c>
      <c r="AW20" s="31">
        <f t="shared" si="44"/>
        <v>0.43313103693801375</v>
      </c>
      <c r="AX20">
        <v>8</v>
      </c>
      <c r="AY20">
        <f t="shared" si="45"/>
        <v>0.08</v>
      </c>
      <c r="AZ20">
        <v>0.86499999999999999</v>
      </c>
      <c r="BA20">
        <f t="shared" si="46"/>
        <v>6.9199999999999998E-2</v>
      </c>
      <c r="BB20">
        <v>44.3</v>
      </c>
      <c r="BC20">
        <f t="shared" si="47"/>
        <v>3.0655599999999996</v>
      </c>
      <c r="BD20">
        <v>72.335002492541093</v>
      </c>
      <c r="BE20">
        <v>7.1637159556547196E-3</v>
      </c>
      <c r="BF20">
        <v>4.7891015874360001E-4</v>
      </c>
      <c r="BG20" s="31">
        <f t="shared" si="48"/>
        <v>1.3277891815956973</v>
      </c>
      <c r="BH20" s="31">
        <f t="shared" si="89"/>
        <v>96.045633760293853</v>
      </c>
      <c r="BI20" s="31">
        <f t="shared" si="49"/>
        <v>9.5119045459428186E-3</v>
      </c>
      <c r="BJ20" s="31">
        <f t="shared" si="17"/>
        <v>6.3589172773603016E-4</v>
      </c>
      <c r="BK20" s="655">
        <f t="shared" si="109"/>
        <v>96.48047839543031</v>
      </c>
      <c r="BL20">
        <v>2.72</v>
      </c>
      <c r="BM20">
        <f t="shared" si="84"/>
        <v>94249.313637711806</v>
      </c>
      <c r="BN20" s="419">
        <f t="shared" si="50"/>
        <v>94.249313637711808</v>
      </c>
      <c r="BO20">
        <v>271.3</v>
      </c>
      <c r="BP20" s="419">
        <f t="shared" si="51"/>
        <v>117.50845032128314</v>
      </c>
      <c r="BQ20" s="419"/>
      <c r="BR20" s="419"/>
      <c r="BZ20" s="419"/>
      <c r="CB20" s="796" t="s">
        <v>305</v>
      </c>
      <c r="CC20" s="798">
        <v>5739</v>
      </c>
      <c r="CD20" s="798">
        <v>3379</v>
      </c>
      <c r="CE20" s="797">
        <v>0.59</v>
      </c>
      <c r="CF20" s="796">
        <v>46.2</v>
      </c>
      <c r="CG20" s="803">
        <v>16861</v>
      </c>
      <c r="CI20" s="121">
        <f t="shared" si="113"/>
        <v>0.90179132620993085</v>
      </c>
      <c r="CJ20" s="121">
        <f t="shared" si="113"/>
        <v>0.95183098591549298</v>
      </c>
      <c r="CL20" s="31">
        <f t="shared" si="110"/>
        <v>96.765279000000007</v>
      </c>
      <c r="CM20" s="121">
        <f t="shared" si="1"/>
        <v>1.9694186292439814E-2</v>
      </c>
      <c r="CP20" t="s">
        <v>302</v>
      </c>
      <c r="CQ20" s="147">
        <f>CM17</f>
        <v>6.4427867603114378E-3</v>
      </c>
      <c r="CR20" s="31">
        <f t="shared" si="52"/>
        <v>8.6937892341986807</v>
      </c>
      <c r="CS20">
        <v>10.5</v>
      </c>
      <c r="CT20">
        <f t="shared" si="53"/>
        <v>0.105</v>
      </c>
      <c r="CU20">
        <v>0.75</v>
      </c>
      <c r="CV20">
        <f t="shared" si="54"/>
        <v>7.8750000000000001E-2</v>
      </c>
      <c r="CW20">
        <v>43</v>
      </c>
      <c r="CX20">
        <f t="shared" si="55"/>
        <v>3.38625</v>
      </c>
      <c r="CY20">
        <v>74.054734089485606</v>
      </c>
      <c r="CZ20">
        <v>1.1457692289250001E-4</v>
      </c>
      <c r="DA20">
        <v>2.5659043229536902E-3</v>
      </c>
      <c r="DB20" s="31">
        <f t="shared" si="56"/>
        <v>29.439343794305284</v>
      </c>
      <c r="DC20" s="31">
        <f t="shared" si="57"/>
        <v>2180.1227764562259</v>
      </c>
      <c r="DD20" s="31">
        <f t="shared" si="58"/>
        <v>3.373069423925915E-3</v>
      </c>
      <c r="DE20" s="31">
        <f t="shared" si="59"/>
        <v>7.5538539506727814E-2</v>
      </c>
      <c r="DF20" s="655">
        <f t="shared" si="60"/>
        <v>2200.2349353693789</v>
      </c>
      <c r="DG20">
        <v>2.34</v>
      </c>
      <c r="DH20">
        <f t="shared" si="61"/>
        <v>2136064.0148426159</v>
      </c>
      <c r="DI20" s="419">
        <f t="shared" si="62"/>
        <v>2136.064014842616</v>
      </c>
      <c r="DJ20">
        <v>239.5</v>
      </c>
      <c r="DK20" s="419">
        <f t="shared" si="63"/>
        <v>2082.1625215905838</v>
      </c>
      <c r="DM20"/>
      <c r="DN20"/>
      <c r="DO20"/>
      <c r="DP20"/>
      <c r="DS20" s="735" t="s">
        <v>305</v>
      </c>
      <c r="DT20" s="737">
        <v>5599</v>
      </c>
      <c r="DU20" s="737">
        <v>3053</v>
      </c>
      <c r="DV20" s="736">
        <v>0.55000000000000004</v>
      </c>
      <c r="DW20" s="735">
        <v>39.04</v>
      </c>
      <c r="DX20" s="737">
        <v>14251</v>
      </c>
      <c r="DZ20" s="121">
        <f t="shared" si="114"/>
        <v>0.89987142397942788</v>
      </c>
      <c r="EA20" s="121">
        <f t="shared" si="114"/>
        <v>0.96006289308176096</v>
      </c>
      <c r="EC20" s="31">
        <f t="shared" si="111"/>
        <v>79.791348999999997</v>
      </c>
      <c r="ED20" s="121">
        <f t="shared" si="3"/>
        <v>1.9146977548698985E-2</v>
      </c>
      <c r="EG20" t="s">
        <v>302</v>
      </c>
      <c r="EH20" s="147">
        <f>ED17</f>
        <v>4.9225209547672198E-3</v>
      </c>
      <c r="EI20" s="31">
        <f t="shared" si="64"/>
        <v>5.3690467241810271</v>
      </c>
      <c r="EJ20">
        <v>10.5</v>
      </c>
      <c r="EK20">
        <f t="shared" si="65"/>
        <v>0.105</v>
      </c>
      <c r="EL20">
        <v>0.75</v>
      </c>
      <c r="EM20">
        <f t="shared" si="66"/>
        <v>7.8750000000000001E-2</v>
      </c>
      <c r="EN20">
        <v>43</v>
      </c>
      <c r="EO20">
        <f t="shared" si="67"/>
        <v>3.38625</v>
      </c>
      <c r="EP20">
        <v>74.054734089485606</v>
      </c>
      <c r="EQ20">
        <v>1.1457692289250001E-4</v>
      </c>
      <c r="ER20">
        <v>2.5659043229536902E-3</v>
      </c>
      <c r="ES20" s="31">
        <f t="shared" si="18"/>
        <v>18.180934469758004</v>
      </c>
      <c r="ET20" s="31">
        <f t="shared" si="19"/>
        <v>1346.384267656292</v>
      </c>
      <c r="EU20" s="31">
        <f t="shared" si="20"/>
        <v>2.0831155268550582E-3</v>
      </c>
      <c r="EV20" s="31">
        <f t="shared" si="21"/>
        <v>4.6650538351289822E-2</v>
      </c>
      <c r="EW20" s="655">
        <f t="shared" si="22"/>
        <v>1358.8049875541358</v>
      </c>
      <c r="EX20">
        <v>2.34</v>
      </c>
      <c r="EY20">
        <f t="shared" si="23"/>
        <v>1319174.7801312783</v>
      </c>
      <c r="EZ20" s="419">
        <f t="shared" si="68"/>
        <v>1319.1747801312783</v>
      </c>
      <c r="FA20">
        <v>239.5</v>
      </c>
      <c r="FB20" s="419">
        <f t="shared" si="24"/>
        <v>1285.886690441356</v>
      </c>
      <c r="FJ20" s="637" t="s">
        <v>305</v>
      </c>
      <c r="FK20" s="631">
        <v>5446</v>
      </c>
      <c r="FL20" s="631">
        <v>2797</v>
      </c>
      <c r="FM20" s="630">
        <v>0.51</v>
      </c>
      <c r="FN20" s="629">
        <v>39.17</v>
      </c>
      <c r="FO20" s="638">
        <v>14297</v>
      </c>
      <c r="FQ20" s="121">
        <f t="shared" si="115"/>
        <v>0.89675613370657004</v>
      </c>
      <c r="FR20" s="121">
        <f t="shared" si="115"/>
        <v>0.95853324194653877</v>
      </c>
      <c r="FT20" s="31">
        <f>FO20*FK20/1000000</f>
        <v>77.861462000000003</v>
      </c>
      <c r="FU20" s="121">
        <f t="shared" si="5"/>
        <v>1.8683875927738472E-2</v>
      </c>
      <c r="FX20" t="s">
        <v>302</v>
      </c>
      <c r="FY20" s="147">
        <f>FU17</f>
        <v>6.6202539587496955E-3</v>
      </c>
      <c r="FZ20" s="31">
        <f t="shared" si="25"/>
        <v>6.6024074268671784</v>
      </c>
      <c r="GA20">
        <v>10.5</v>
      </c>
      <c r="GB20">
        <f t="shared" si="129"/>
        <v>0.105</v>
      </c>
      <c r="GC20">
        <v>0.75</v>
      </c>
      <c r="GD20">
        <f t="shared" si="130"/>
        <v>7.8750000000000001E-2</v>
      </c>
      <c r="GE20">
        <v>43</v>
      </c>
      <c r="GF20">
        <f t="shared" si="131"/>
        <v>3.38625</v>
      </c>
      <c r="GG20">
        <v>73.367636682232202</v>
      </c>
      <c r="GH20">
        <f>0.06636778941357/1000</f>
        <v>6.6367789413569991E-5</v>
      </c>
      <c r="GI20">
        <f>2.52657658902305/1000</f>
        <v>2.5265765890230499E-3</v>
      </c>
      <c r="GJ20" s="31">
        <f t="shared" si="26"/>
        <v>22.357402149228982</v>
      </c>
      <c r="GK20" s="31">
        <f t="shared" si="27"/>
        <v>1640.3097580431893</v>
      </c>
      <c r="GL20" s="31">
        <f t="shared" si="28"/>
        <v>1.4838113576745261E-3</v>
      </c>
      <c r="GM20" s="31">
        <f t="shared" si="29"/>
        <v>5.6487688861615565E-2</v>
      </c>
      <c r="GN20" s="655">
        <f t="shared" si="72"/>
        <v>1655.3205423095324</v>
      </c>
      <c r="GO20">
        <v>2.34</v>
      </c>
      <c r="GP20">
        <f t="shared" si="30"/>
        <v>1622211.5047812655</v>
      </c>
      <c r="GQ20" s="419">
        <f t="shared" si="132"/>
        <v>1622.2115047812656</v>
      </c>
      <c r="GR20">
        <v>239.5</v>
      </c>
      <c r="GS20" s="419">
        <f t="shared" si="31"/>
        <v>1581.2765787346893</v>
      </c>
      <c r="GZ20" s="133" t="s">
        <v>305</v>
      </c>
      <c r="HA20" s="156">
        <v>5250</v>
      </c>
      <c r="HB20" s="156">
        <v>2769</v>
      </c>
      <c r="HC20" s="135">
        <v>0.53</v>
      </c>
      <c r="HD20" s="134">
        <v>40.729999999999997</v>
      </c>
      <c r="HE20" s="136">
        <v>14865</v>
      </c>
      <c r="HG20" s="121">
        <f>HA20/HA27</f>
        <v>0.89179548156956001</v>
      </c>
      <c r="HH20" s="121">
        <f>HB20/HB27</f>
        <v>0.94601981551076186</v>
      </c>
      <c r="HJ20" s="31">
        <f t="shared" si="6"/>
        <v>78.041250000000005</v>
      </c>
      <c r="HK20" s="121">
        <f t="shared" si="7"/>
        <v>1.8372467397700678E-2</v>
      </c>
      <c r="HN20" t="s">
        <v>302</v>
      </c>
      <c r="HO20" s="147">
        <f>HK17</f>
        <v>8.3307762096524827E-3</v>
      </c>
      <c r="HP20" s="31">
        <f t="shared" si="32"/>
        <v>9.2527693026831166</v>
      </c>
      <c r="HQ20">
        <v>10.5</v>
      </c>
      <c r="HR20">
        <f t="shared" si="133"/>
        <v>0.105</v>
      </c>
      <c r="HS20">
        <v>0.75</v>
      </c>
      <c r="HT20">
        <f t="shared" si="134"/>
        <v>7.8750000000000001E-2</v>
      </c>
      <c r="HU20">
        <v>43</v>
      </c>
      <c r="HV20">
        <f t="shared" si="135"/>
        <v>3.38625</v>
      </c>
      <c r="HW20">
        <v>72.416541095972974</v>
      </c>
      <c r="HX20">
        <f>7.87852632644844/1000</f>
        <v>7.8785263264484397E-3</v>
      </c>
      <c r="HY20">
        <f>0.93521034397128/1000</f>
        <v>9.3521034397127997E-4</v>
      </c>
      <c r="HZ20" s="31">
        <f t="shared" si="33"/>
        <v>31.332190051210702</v>
      </c>
      <c r="IA20" s="31">
        <f t="shared" si="77"/>
        <v>2268.9688284703352</v>
      </c>
      <c r="IB20" s="31">
        <f t="shared" si="34"/>
        <v>0.24685148418374941</v>
      </c>
      <c r="IC20" s="31">
        <f t="shared" si="34"/>
        <v>2.9302188235166275E-2</v>
      </c>
      <c r="ID20" s="655">
        <f t="shared" si="35"/>
        <v>2283.6457499097996</v>
      </c>
      <c r="IE20">
        <v>2.34</v>
      </c>
      <c r="IF20">
        <f t="shared" si="36"/>
        <v>2273405.4176692413</v>
      </c>
      <c r="IG20" s="419">
        <f t="shared" si="136"/>
        <v>2273.4054176692412</v>
      </c>
      <c r="IH20">
        <v>239.5</v>
      </c>
      <c r="II20" s="419">
        <f t="shared" si="37"/>
        <v>2216.0382479926066</v>
      </c>
      <c r="IP20" s="637" t="s">
        <v>305</v>
      </c>
      <c r="IQ20" s="631">
        <v>5103</v>
      </c>
      <c r="IR20" s="631">
        <v>2638</v>
      </c>
      <c r="IS20" s="630">
        <v>0.52</v>
      </c>
      <c r="IT20" s="629">
        <v>42.36</v>
      </c>
      <c r="IU20" s="638">
        <v>15461</v>
      </c>
      <c r="IW20" s="121">
        <f>IQ20/IQ27</f>
        <v>0.88778705636743216</v>
      </c>
      <c r="IX20" s="121">
        <f>IR20/IR27</f>
        <v>0.95063063063063058</v>
      </c>
      <c r="IZ20" s="31">
        <f t="shared" si="8"/>
        <v>78.897482999999994</v>
      </c>
      <c r="JA20" s="121">
        <f t="shared" si="9"/>
        <v>1.8574041730215027E-2</v>
      </c>
      <c r="JD20" t="s">
        <v>302</v>
      </c>
      <c r="JE20" s="147">
        <f>JA17</f>
        <v>8.9130672169853535E-3</v>
      </c>
      <c r="JF20" s="31">
        <f t="shared" si="38"/>
        <v>9.7909507833312155</v>
      </c>
      <c r="JG20">
        <v>10.5</v>
      </c>
      <c r="JH20">
        <f t="shared" si="137"/>
        <v>0.105</v>
      </c>
      <c r="JI20">
        <v>0.75</v>
      </c>
      <c r="JJ20">
        <f t="shared" si="138"/>
        <v>7.8750000000000001E-2</v>
      </c>
      <c r="JK20">
        <v>43</v>
      </c>
      <c r="JL20">
        <f t="shared" si="139"/>
        <v>3.38625</v>
      </c>
      <c r="JM20">
        <v>72.416541095972974</v>
      </c>
      <c r="JN20">
        <f>7.87852632644844/1000</f>
        <v>7.8785263264484397E-3</v>
      </c>
      <c r="JO20">
        <f>0.93521034397128/1000</f>
        <v>9.3521034397127997E-4</v>
      </c>
      <c r="JP20" s="31">
        <f t="shared" si="39"/>
        <v>33.154607090055329</v>
      </c>
      <c r="JQ20" s="31">
        <f t="shared" si="82"/>
        <v>2400.9419668578284</v>
      </c>
      <c r="JR20" s="31">
        <f t="shared" si="40"/>
        <v>0.26120944480205499</v>
      </c>
      <c r="JS20" s="31">
        <f t="shared" si="40"/>
        <v>3.1006531500923282E-2</v>
      </c>
      <c r="JT20" s="655">
        <f t="shared" si="41"/>
        <v>2416.4725621600305</v>
      </c>
      <c r="JU20">
        <v>2.34</v>
      </c>
      <c r="JV20">
        <f t="shared" si="42"/>
        <v>2405636.6074644793</v>
      </c>
      <c r="JW20" s="419">
        <f t="shared" si="140"/>
        <v>2405.6366074644793</v>
      </c>
      <c r="JX20">
        <v>239.5</v>
      </c>
      <c r="JY20" s="419">
        <f t="shared" si="43"/>
        <v>2344.932712607826</v>
      </c>
    </row>
    <row r="21" spans="1:300" ht="16.5" customHeight="1" thickBot="1" x14ac:dyDescent="0.8">
      <c r="A21" s="1161"/>
      <c r="B21" s="341" t="s">
        <v>326</v>
      </c>
      <c r="C21" s="342">
        <v>39646</v>
      </c>
      <c r="D21" s="343">
        <v>41051</v>
      </c>
      <c r="E21" s="344">
        <v>37101</v>
      </c>
      <c r="F21" s="345">
        <v>117798</v>
      </c>
      <c r="G21" s="382">
        <v>1276587.8002521526</v>
      </c>
      <c r="H21" s="324"/>
      <c r="I21" s="348"/>
      <c r="J21" s="348"/>
      <c r="K21" s="348"/>
      <c r="L21" s="348"/>
      <c r="M21" s="504"/>
      <c r="O21" s="206">
        <v>2015</v>
      </c>
      <c r="P21" s="160">
        <f>M153</f>
        <v>4.227000115618762E-2</v>
      </c>
      <c r="Q21" s="95">
        <f t="shared" si="157"/>
        <v>4.6743714994440531</v>
      </c>
      <c r="R21" s="656">
        <f t="shared" si="122"/>
        <v>1108.9946382431017</v>
      </c>
      <c r="S21" s="93">
        <f t="shared" si="123"/>
        <v>29.214821871525331</v>
      </c>
      <c r="T21" s="93">
        <f t="shared" si="141"/>
        <v>1505.9186531714088</v>
      </c>
      <c r="U21" s="656">
        <f t="shared" si="142"/>
        <v>978.84712456141574</v>
      </c>
      <c r="V21" s="25">
        <f t="shared" si="124"/>
        <v>1080093.6260795605</v>
      </c>
      <c r="W21">
        <f t="shared" si="143"/>
        <v>5.3680653216154148</v>
      </c>
      <c r="X21" s="419">
        <f t="shared" si="144"/>
        <v>1124.1116169619909</v>
      </c>
      <c r="Y21" s="25">
        <f t="shared" si="125"/>
        <v>885744.90760890185</v>
      </c>
      <c r="Z21">
        <f t="shared" si="126"/>
        <v>4.507272496159886</v>
      </c>
      <c r="AA21" s="25">
        <f t="shared" si="127"/>
        <v>1419.790836290364</v>
      </c>
      <c r="AB21" s="419">
        <f t="shared" si="128"/>
        <v>922.86404358873665</v>
      </c>
      <c r="AC21" s="419"/>
      <c r="AD21" s="419"/>
      <c r="AE21" s="419"/>
      <c r="AF21" s="419"/>
      <c r="AG21" s="795" t="s">
        <v>308</v>
      </c>
      <c r="AH21" s="793">
        <v>7794</v>
      </c>
      <c r="AI21" s="793">
        <v>4268</v>
      </c>
      <c r="AJ21" s="794">
        <v>0.55000000000000004</v>
      </c>
      <c r="AK21" s="795">
        <v>79.06</v>
      </c>
      <c r="AL21" s="802">
        <v>28857</v>
      </c>
      <c r="AM21" s="419"/>
      <c r="AN21" s="121">
        <f t="shared" si="119"/>
        <v>0.99820696721311475</v>
      </c>
      <c r="AO21" s="121">
        <f t="shared" si="120"/>
        <v>0.99440820130475305</v>
      </c>
      <c r="AP21">
        <f t="shared" si="11"/>
        <v>224.91145800000001</v>
      </c>
      <c r="AR21" s="121">
        <f t="shared" si="12"/>
        <v>4.5258512229427547E-2</v>
      </c>
      <c r="AS21" s="419"/>
      <c r="AT21" t="s">
        <v>318</v>
      </c>
      <c r="AU21" t="s">
        <v>302</v>
      </c>
      <c r="AV21" s="147">
        <f>AR17</f>
        <v>5.0828551555304261E-3</v>
      </c>
      <c r="AW21" s="31">
        <f t="shared" si="44"/>
        <v>7.1742212858359249</v>
      </c>
      <c r="AX21">
        <v>10.5</v>
      </c>
      <c r="AY21">
        <f t="shared" si="45"/>
        <v>0.105</v>
      </c>
      <c r="AZ21">
        <v>0.75</v>
      </c>
      <c r="BA21">
        <f t="shared" si="46"/>
        <v>7.8750000000000001E-2</v>
      </c>
      <c r="BB21">
        <v>43</v>
      </c>
      <c r="BC21">
        <f t="shared" si="47"/>
        <v>3.38625</v>
      </c>
      <c r="BD21">
        <v>73.510933419407607</v>
      </c>
      <c r="BE21">
        <v>5.406312413867E-5</v>
      </c>
      <c r="BF21">
        <v>2.5456284629589302E-3</v>
      </c>
      <c r="BG21" s="31">
        <f t="shared" si="48"/>
        <v>24.293706829161902</v>
      </c>
      <c r="BH21" s="31">
        <f t="shared" si="89"/>
        <v>1785.8530652291286</v>
      </c>
      <c r="BI21" s="31">
        <f t="shared" si="49"/>
        <v>1.313393688093435E-3</v>
      </c>
      <c r="BJ21" s="31">
        <f t="shared" si="17"/>
        <v>6.1842751575094279E-2</v>
      </c>
      <c r="BK21" s="655">
        <f t="shared" si="109"/>
        <v>1802.2781694197952</v>
      </c>
      <c r="BL21">
        <v>2.34</v>
      </c>
      <c r="BM21">
        <f t="shared" si="84"/>
        <v>1762706.1699298865</v>
      </c>
      <c r="BN21" s="419">
        <f t="shared" si="50"/>
        <v>1762.7061699298865</v>
      </c>
      <c r="BO21">
        <v>239.5</v>
      </c>
      <c r="BP21" s="419">
        <f t="shared" si="51"/>
        <v>1718.2259979577041</v>
      </c>
      <c r="BQ21" s="419"/>
      <c r="BR21" s="419"/>
      <c r="BS21" t="s">
        <v>223</v>
      </c>
      <c r="BT21" s="31">
        <f>BT13</f>
        <v>219530.29649871241</v>
      </c>
      <c r="BU21" s="31">
        <f t="shared" ref="BU21:BV21" si="158">BU13</f>
        <v>222705.0131055321</v>
      </c>
      <c r="BV21" s="31">
        <f t="shared" si="158"/>
        <v>195561.93135068289</v>
      </c>
      <c r="BW21" s="31"/>
      <c r="BZ21" s="419"/>
      <c r="CB21" s="795" t="s">
        <v>308</v>
      </c>
      <c r="CC21" s="793">
        <v>7470</v>
      </c>
      <c r="CD21" s="793">
        <v>3978</v>
      </c>
      <c r="CE21" s="794">
        <v>0.53</v>
      </c>
      <c r="CF21" s="795">
        <v>93.22</v>
      </c>
      <c r="CG21" s="802">
        <v>34024</v>
      </c>
      <c r="CI21" s="121">
        <f t="shared" si="113"/>
        <v>0.99507126681763691</v>
      </c>
      <c r="CJ21" s="121">
        <f t="shared" si="113"/>
        <v>0.99649298597194391</v>
      </c>
      <c r="CL21" s="31">
        <f t="shared" si="110"/>
        <v>254.15928</v>
      </c>
      <c r="CM21" s="121">
        <f t="shared" si="1"/>
        <v>5.17278538335261E-2</v>
      </c>
      <c r="CO21" t="s">
        <v>318</v>
      </c>
      <c r="CP21" t="s">
        <v>264</v>
      </c>
      <c r="CQ21" s="147">
        <f>CM12</f>
        <v>1.3105559379364763E-2</v>
      </c>
      <c r="CR21" s="31">
        <f t="shared" si="52"/>
        <v>17.68442372520262</v>
      </c>
      <c r="CS21">
        <v>12</v>
      </c>
      <c r="CT21">
        <f t="shared" si="53"/>
        <v>0.12</v>
      </c>
      <c r="CU21">
        <v>0.75</v>
      </c>
      <c r="CV21">
        <f t="shared" si="54"/>
        <v>0.09</v>
      </c>
      <c r="CW21">
        <v>44.3</v>
      </c>
      <c r="CX21">
        <f t="shared" si="55"/>
        <v>3.9869999999999997</v>
      </c>
      <c r="CY21">
        <v>70.9769741921898</v>
      </c>
      <c r="CZ21">
        <v>7.3169105356480999E-3</v>
      </c>
      <c r="DA21">
        <v>6.0998104818480998E-4</v>
      </c>
      <c r="DB21" s="31">
        <f t="shared" si="56"/>
        <v>70.507797392382841</v>
      </c>
      <c r="DC21" s="31">
        <f t="shared" si="57"/>
        <v>5004.4301158673043</v>
      </c>
      <c r="DD21" s="31">
        <f t="shared" si="58"/>
        <v>0.51589924558566769</v>
      </c>
      <c r="DE21" s="31">
        <f t="shared" si="59"/>
        <v>4.3008420158607896E-2</v>
      </c>
      <c r="DF21" s="655">
        <f t="shared" si="60"/>
        <v>5030.2725260857342</v>
      </c>
      <c r="DG21">
        <v>2.34</v>
      </c>
      <c r="DH21">
        <f t="shared" si="61"/>
        <v>4965786.1820368953</v>
      </c>
      <c r="DI21" s="419">
        <f t="shared" si="62"/>
        <v>4965.7861820368953</v>
      </c>
      <c r="DJ21">
        <v>271.3</v>
      </c>
      <c r="DK21" s="419">
        <f t="shared" si="63"/>
        <v>4797.7841566474717</v>
      </c>
      <c r="DM21" t="s">
        <v>223</v>
      </c>
      <c r="DN21" s="31">
        <f>DN13</f>
        <v>221880.71801834306</v>
      </c>
      <c r="DO21" s="31">
        <f t="shared" ref="DO21:DP21" si="159">DO13</f>
        <v>224725.89697640287</v>
      </c>
      <c r="DP21" s="31">
        <f t="shared" si="159"/>
        <v>196960.04722069486</v>
      </c>
      <c r="DS21" s="732" t="s">
        <v>308</v>
      </c>
      <c r="DT21" s="733">
        <v>7166</v>
      </c>
      <c r="DU21" s="733">
        <v>3559</v>
      </c>
      <c r="DV21" s="734">
        <v>0.5</v>
      </c>
      <c r="DW21" s="732">
        <v>67.099999999999994</v>
      </c>
      <c r="DX21" s="733">
        <v>24490</v>
      </c>
      <c r="DZ21" s="121">
        <f t="shared" si="114"/>
        <v>0.99527777777777782</v>
      </c>
      <c r="EA21" s="121">
        <f t="shared" si="114"/>
        <v>0.99691876750700281</v>
      </c>
      <c r="EC21" s="31">
        <f>DX21*DT21/1000000</f>
        <v>175.49534</v>
      </c>
      <c r="ED21" s="121">
        <f t="shared" si="3"/>
        <v>4.2112401619896093E-2</v>
      </c>
      <c r="EF21" t="s">
        <v>318</v>
      </c>
      <c r="EG21" t="s">
        <v>264</v>
      </c>
      <c r="EH21" s="147">
        <f>ED12</f>
        <v>1.3868167817311457E-2</v>
      </c>
      <c r="EI21" s="31">
        <f t="shared" si="64"/>
        <v>15.126160289438504</v>
      </c>
      <c r="EJ21">
        <v>12</v>
      </c>
      <c r="EK21">
        <f t="shared" si="65"/>
        <v>0.12</v>
      </c>
      <c r="EL21">
        <v>0.75</v>
      </c>
      <c r="EM21">
        <f t="shared" si="66"/>
        <v>0.09</v>
      </c>
      <c r="EN21">
        <v>44.3</v>
      </c>
      <c r="EO21">
        <f t="shared" si="67"/>
        <v>3.9869999999999997</v>
      </c>
      <c r="EP21">
        <v>70.9769741921898</v>
      </c>
      <c r="EQ21">
        <v>7.3169105356480999E-3</v>
      </c>
      <c r="ER21">
        <v>6.0998104818480998E-4</v>
      </c>
      <c r="ES21" s="31">
        <f t="shared" si="18"/>
        <v>60.308001073991306</v>
      </c>
      <c r="ET21" s="31">
        <f t="shared" si="19"/>
        <v>4280.4794358112358</v>
      </c>
      <c r="EU21" s="31">
        <f t="shared" si="20"/>
        <v>0.44126824844216389</v>
      </c>
      <c r="EV21" s="31">
        <f t="shared" si="21"/>
        <v>3.6786737709043865E-2</v>
      </c>
      <c r="EW21" s="655">
        <f t="shared" si="22"/>
        <v>4302.5834322605124</v>
      </c>
      <c r="EX21">
        <v>2.34</v>
      </c>
      <c r="EY21">
        <f t="shared" si="23"/>
        <v>4247425.8092743317</v>
      </c>
      <c r="EZ21" s="419">
        <f t="shared" si="68"/>
        <v>4247.4258092743321</v>
      </c>
      <c r="FA21">
        <v>271.3</v>
      </c>
      <c r="FB21" s="419">
        <f t="shared" si="24"/>
        <v>4103.7272865246669</v>
      </c>
      <c r="FD21" t="s">
        <v>223</v>
      </c>
      <c r="FE21" s="31">
        <f>FE13</f>
        <v>197241.7370532557</v>
      </c>
      <c r="FF21" s="31">
        <f t="shared" ref="FF21:FG21" si="160">FF13</f>
        <v>201471.50310042503</v>
      </c>
      <c r="FG21" s="31">
        <f t="shared" si="160"/>
        <v>170552.22206655284</v>
      </c>
      <c r="FJ21" s="635" t="s">
        <v>308</v>
      </c>
      <c r="FK21" s="626">
        <v>7007</v>
      </c>
      <c r="FL21" s="626">
        <v>3443</v>
      </c>
      <c r="FM21" s="627">
        <v>0.49</v>
      </c>
      <c r="FN21" s="628">
        <v>64.42</v>
      </c>
      <c r="FO21" s="636">
        <v>23513</v>
      </c>
      <c r="FQ21" s="121">
        <f t="shared" si="115"/>
        <v>0.99531250000000004</v>
      </c>
      <c r="FR21" s="121">
        <f t="shared" si="115"/>
        <v>0.99681528662420382</v>
      </c>
      <c r="FT21" s="31">
        <f t="shared" si="112"/>
        <v>164.75559100000001</v>
      </c>
      <c r="FU21" s="121">
        <f t="shared" si="5"/>
        <v>3.9535258413786592E-2</v>
      </c>
      <c r="FW21" t="s">
        <v>318</v>
      </c>
      <c r="FX21" t="s">
        <v>264</v>
      </c>
      <c r="FY21" s="147">
        <f>FU12</f>
        <v>1.4732857964463981E-2</v>
      </c>
      <c r="FZ21" s="31">
        <f t="shared" si="25"/>
        <v>14.693141902055846</v>
      </c>
      <c r="GA21">
        <v>12</v>
      </c>
      <c r="GB21">
        <f t="shared" si="129"/>
        <v>0.12</v>
      </c>
      <c r="GC21">
        <v>0.75</v>
      </c>
      <c r="GD21">
        <f t="shared" si="130"/>
        <v>0.09</v>
      </c>
      <c r="GE21">
        <v>44.3</v>
      </c>
      <c r="GF21">
        <f t="shared" si="131"/>
        <v>3.9869999999999997</v>
      </c>
      <c r="GG21">
        <v>72.416541095973002</v>
      </c>
      <c r="GH21">
        <f>7.87852632644844/1000</f>
        <v>7.8785263264484397E-3</v>
      </c>
      <c r="GI21">
        <f>0.93521034397128/1000</f>
        <v>9.3521034397127997E-4</v>
      </c>
      <c r="GJ21" s="31">
        <f t="shared" si="26"/>
        <v>58.58155676349665</v>
      </c>
      <c r="GK21" s="31">
        <f t="shared" si="27"/>
        <v>4242.2737128298304</v>
      </c>
      <c r="GL21" s="31">
        <f t="shared" si="28"/>
        <v>0.46153633720554199</v>
      </c>
      <c r="GM21" s="31">
        <f t="shared" si="29"/>
        <v>5.4786077851162761E-2</v>
      </c>
      <c r="GN21" s="655">
        <f t="shared" si="72"/>
        <v>4269.7150409021442</v>
      </c>
      <c r="GO21">
        <v>2.34</v>
      </c>
      <c r="GP21">
        <f t="shared" si="30"/>
        <v>4125834.2460972816</v>
      </c>
      <c r="GQ21" s="419">
        <f t="shared" si="132"/>
        <v>4125.8342460972817</v>
      </c>
      <c r="GR21">
        <v>271.3</v>
      </c>
      <c r="GS21" s="419">
        <f t="shared" si="31"/>
        <v>3986.2493980277513</v>
      </c>
      <c r="GU21" t="s">
        <v>223</v>
      </c>
      <c r="GV21" s="31">
        <f>GV13</f>
        <v>182447.62542862695</v>
      </c>
      <c r="GW21" s="31">
        <f t="shared" ref="GW21:GX21" si="161">GW13</f>
        <v>183625.11010645403</v>
      </c>
      <c r="GX21" s="31">
        <f t="shared" si="161"/>
        <v>157021.82266122394</v>
      </c>
      <c r="GZ21" s="116" t="s">
        <v>308</v>
      </c>
      <c r="HA21" s="117">
        <v>6919</v>
      </c>
      <c r="HB21" s="117">
        <v>3391</v>
      </c>
      <c r="HC21" s="118">
        <v>0.49</v>
      </c>
      <c r="HD21" s="119">
        <v>67.87</v>
      </c>
      <c r="HE21" s="120">
        <v>24772</v>
      </c>
      <c r="HG21" s="121">
        <f>HA21/HA28</f>
        <v>0.99396638414020977</v>
      </c>
      <c r="HH21" s="121">
        <f>HB21/HB28</f>
        <v>0.99793996468510893</v>
      </c>
      <c r="HJ21" s="31">
        <f t="shared" si="6"/>
        <v>171.397468</v>
      </c>
      <c r="HK21" s="121">
        <f t="shared" si="7"/>
        <v>4.0350383840320928E-2</v>
      </c>
      <c r="HM21" t="s">
        <v>318</v>
      </c>
      <c r="HN21" t="s">
        <v>264</v>
      </c>
      <c r="HO21" s="147">
        <f>HK12</f>
        <v>1.5713350297990199E-2</v>
      </c>
      <c r="HP21" s="31">
        <f t="shared" si="32"/>
        <v>17.452395985753569</v>
      </c>
      <c r="HQ21">
        <v>12</v>
      </c>
      <c r="HR21">
        <f t="shared" si="133"/>
        <v>0.12</v>
      </c>
      <c r="HS21">
        <v>0.75</v>
      </c>
      <c r="HT21">
        <f t="shared" si="134"/>
        <v>0.09</v>
      </c>
      <c r="HU21">
        <v>44.3</v>
      </c>
      <c r="HV21">
        <f t="shared" si="135"/>
        <v>3.9869999999999997</v>
      </c>
      <c r="HW21">
        <v>72.513754762763227</v>
      </c>
      <c r="HX21">
        <f>6.43681969225972/1000</f>
        <v>6.4368196922597199E-3</v>
      </c>
      <c r="HY21">
        <f>1.22219082236233/1000</f>
        <v>1.2221908223623299E-3</v>
      </c>
      <c r="HZ21" s="31">
        <f t="shared" si="33"/>
        <v>69.582702795199467</v>
      </c>
      <c r="IA21" s="31">
        <f t="shared" si="77"/>
        <v>5045.7030462213334</v>
      </c>
      <c r="IB21" s="31">
        <f t="shared" si="34"/>
        <v>0.44789131159279538</v>
      </c>
      <c r="IC21" s="31">
        <f t="shared" si="34"/>
        <v>8.5043340751458432E-2</v>
      </c>
      <c r="ID21" s="655">
        <f t="shared" si="35"/>
        <v>5080.7804882450673</v>
      </c>
      <c r="IE21">
        <v>2.34</v>
      </c>
      <c r="IF21">
        <f t="shared" si="36"/>
        <v>4900632.7927996023</v>
      </c>
      <c r="IG21" s="419">
        <f t="shared" si="136"/>
        <v>4900.6327927996026</v>
      </c>
      <c r="IH21">
        <v>271.3</v>
      </c>
      <c r="II21" s="419">
        <f t="shared" si="37"/>
        <v>4734.8350309349435</v>
      </c>
      <c r="IK21" t="s">
        <v>223</v>
      </c>
      <c r="IL21" s="31">
        <f>IL13</f>
        <v>203536.7628924434</v>
      </c>
      <c r="IM21" s="31">
        <f t="shared" ref="IM21:IN21" si="162">IM13</f>
        <v>199073.11094862391</v>
      </c>
      <c r="IN21" s="31">
        <f t="shared" si="162"/>
        <v>170311.25144236092</v>
      </c>
      <c r="IP21" s="635" t="s">
        <v>308</v>
      </c>
      <c r="IQ21" s="626">
        <v>6696</v>
      </c>
      <c r="IR21" s="626">
        <v>3224</v>
      </c>
      <c r="IS21" s="627">
        <v>0.48</v>
      </c>
      <c r="IT21" s="628">
        <v>69.7</v>
      </c>
      <c r="IU21" s="636">
        <v>25441</v>
      </c>
      <c r="IW21" s="121">
        <f>IQ21/IQ28</f>
        <v>0.99420935412026723</v>
      </c>
      <c r="IX21" s="121">
        <f>IR21/IR28</f>
        <v>0.99721620785648002</v>
      </c>
      <c r="IZ21" s="31">
        <f t="shared" si="8"/>
        <v>170.352936</v>
      </c>
      <c r="JA21" s="121">
        <f t="shared" si="9"/>
        <v>4.0104480166099216E-2</v>
      </c>
      <c r="JC21" t="s">
        <v>318</v>
      </c>
      <c r="JD21" t="s">
        <v>264</v>
      </c>
      <c r="JE21" s="147">
        <f>JA12</f>
        <v>1.5617636549427567E-2</v>
      </c>
      <c r="JF21" s="31">
        <f t="shared" si="38"/>
        <v>17.15587991034123</v>
      </c>
      <c r="JG21">
        <v>12</v>
      </c>
      <c r="JH21">
        <f t="shared" si="137"/>
        <v>0.12</v>
      </c>
      <c r="JI21">
        <v>0.75</v>
      </c>
      <c r="JJ21">
        <f t="shared" si="138"/>
        <v>0.09</v>
      </c>
      <c r="JK21">
        <v>44.3</v>
      </c>
      <c r="JL21">
        <f t="shared" si="139"/>
        <v>3.9869999999999997</v>
      </c>
      <c r="JM21">
        <v>72.513754762763227</v>
      </c>
      <c r="JN21">
        <f>6.43681969225972/1000</f>
        <v>6.4368196922597199E-3</v>
      </c>
      <c r="JO21">
        <f>1.22219082236233/1000</f>
        <v>1.2221908223623299E-3</v>
      </c>
      <c r="JP21" s="31">
        <f t="shared" si="39"/>
        <v>68.400493202530484</v>
      </c>
      <c r="JQ21" s="31">
        <f t="shared" si="82"/>
        <v>4959.9765897403486</v>
      </c>
      <c r="JR21" s="31">
        <f t="shared" si="40"/>
        <v>0.44028164160632532</v>
      </c>
      <c r="JS21" s="31">
        <f t="shared" si="40"/>
        <v>8.3598455037189684E-2</v>
      </c>
      <c r="JT21" s="655">
        <f t="shared" si="41"/>
        <v>4994.4580662901808</v>
      </c>
      <c r="JU21">
        <v>2.34</v>
      </c>
      <c r="JV21">
        <f t="shared" si="42"/>
        <v>4817371.078823817</v>
      </c>
      <c r="JW21" s="419">
        <f t="shared" si="140"/>
        <v>4817.3710788238168</v>
      </c>
      <c r="JX21">
        <v>271.3</v>
      </c>
      <c r="JY21" s="419">
        <f t="shared" si="43"/>
        <v>4654.3902196755771</v>
      </c>
      <c r="KA21" t="s">
        <v>223</v>
      </c>
      <c r="KB21" s="31">
        <f>KB13</f>
        <v>196846.13898451629</v>
      </c>
      <c r="KC21" s="31">
        <f t="shared" ref="KC21:KD21" si="163">KC13</f>
        <v>195814.11713511383</v>
      </c>
      <c r="KD21" s="31">
        <f t="shared" si="163"/>
        <v>167902.60267331387</v>
      </c>
      <c r="KF21" t="s">
        <v>223</v>
      </c>
      <c r="KG21" s="31">
        <f>KG13</f>
        <v>191476.65694556726</v>
      </c>
      <c r="KH21" s="31">
        <f>KH13</f>
        <v>190472.78613236372</v>
      </c>
      <c r="KI21" s="31">
        <f t="shared" ref="KI21" si="164">KI13</f>
        <v>163322.62963448241</v>
      </c>
      <c r="KK21" t="s">
        <v>223</v>
      </c>
      <c r="KL21" s="31">
        <f>KL13</f>
        <v>177288.72100304358</v>
      </c>
      <c r="KM21" s="31">
        <f>KM13</f>
        <v>176359.23447782325</v>
      </c>
      <c r="KN21" s="31">
        <f t="shared" ref="KN21" si="165">KN13</f>
        <v>151220.83590054812</v>
      </c>
    </row>
    <row r="22" spans="1:300" ht="16.5" customHeight="1" thickBot="1" x14ac:dyDescent="0.8">
      <c r="A22" s="1162"/>
      <c r="B22" s="349" t="s">
        <v>327</v>
      </c>
      <c r="C22" s="350">
        <v>40180</v>
      </c>
      <c r="D22" s="351">
        <v>42745</v>
      </c>
      <c r="E22" s="352">
        <v>36800</v>
      </c>
      <c r="F22" s="386">
        <v>119725</v>
      </c>
      <c r="G22" s="382">
        <v>1396312.8002521526</v>
      </c>
      <c r="H22" s="324"/>
      <c r="I22" s="348"/>
      <c r="J22" s="348"/>
      <c r="K22" s="348"/>
      <c r="L22" s="348"/>
      <c r="M22" s="504"/>
      <c r="O22" s="206">
        <v>2016</v>
      </c>
      <c r="P22" s="160">
        <f>M166</f>
        <v>7.2047840846281241E-2</v>
      </c>
      <c r="Q22" s="95">
        <f t="shared" si="157"/>
        <v>5.0111498732923909</v>
      </c>
      <c r="R22" s="656">
        <f t="shared" si="122"/>
        <v>1188.8953074386197</v>
      </c>
      <c r="S22" s="93">
        <f t="shared" si="123"/>
        <v>31.319686708077441</v>
      </c>
      <c r="T22" s="93">
        <f t="shared" si="141"/>
        <v>1614.4168406225485</v>
      </c>
      <c r="U22" s="656">
        <f t="shared" si="142"/>
        <v>1049.3709464046565</v>
      </c>
      <c r="V22" s="25">
        <f t="shared" si="124"/>
        <v>1157912.0397504235</v>
      </c>
      <c r="W22">
        <f t="shared" si="143"/>
        <v>5.7548228375596047</v>
      </c>
      <c r="X22" s="419">
        <f t="shared" si="144"/>
        <v>1205.1014318343246</v>
      </c>
      <c r="Y22" s="25">
        <f t="shared" si="125"/>
        <v>949560.9157427121</v>
      </c>
      <c r="Z22">
        <f t="shared" si="126"/>
        <v>4.8320117476140343</v>
      </c>
      <c r="AA22" s="25">
        <f t="shared" si="127"/>
        <v>1522.0837004984207</v>
      </c>
      <c r="AB22" s="419">
        <f t="shared" si="128"/>
        <v>989.35440532397354</v>
      </c>
      <c r="AC22" s="419"/>
      <c r="AD22" s="419"/>
      <c r="AE22" s="419"/>
      <c r="AF22" s="419"/>
      <c r="AG22" s="1223" t="s">
        <v>397</v>
      </c>
      <c r="AH22" s="1224"/>
      <c r="AI22" s="1224"/>
      <c r="AJ22" s="1224"/>
      <c r="AK22" s="1224"/>
      <c r="AL22" s="1225"/>
      <c r="AM22" s="35">
        <f>SUM(AH16:AH21)</f>
        <v>134897</v>
      </c>
      <c r="AN22" s="419"/>
      <c r="AO22" s="419"/>
      <c r="AP22">
        <f t="shared" si="11"/>
        <v>0</v>
      </c>
      <c r="AR22" s="121">
        <f t="shared" si="12"/>
        <v>0</v>
      </c>
      <c r="AS22" s="419"/>
      <c r="AU22" t="s">
        <v>264</v>
      </c>
      <c r="AV22" s="147">
        <f>AR12</f>
        <v>1.2963623666463293E-2</v>
      </c>
      <c r="AW22" s="31">
        <f t="shared" si="44"/>
        <v>18.297571345961718</v>
      </c>
      <c r="AX22">
        <v>12</v>
      </c>
      <c r="AY22">
        <f t="shared" si="45"/>
        <v>0.12</v>
      </c>
      <c r="AZ22">
        <v>0.75</v>
      </c>
      <c r="BA22">
        <f t="shared" si="46"/>
        <v>0.09</v>
      </c>
      <c r="BB22">
        <v>44.3</v>
      </c>
      <c r="BC22">
        <f t="shared" si="47"/>
        <v>3.9869999999999997</v>
      </c>
      <c r="BD22">
        <v>72.335002492541093</v>
      </c>
      <c r="BE22">
        <v>7.1637159556547196E-3</v>
      </c>
      <c r="BF22">
        <v>4.7891015874360001E-4</v>
      </c>
      <c r="BG22" s="31">
        <f t="shared" si="48"/>
        <v>72.952416956349367</v>
      </c>
      <c r="BH22" s="31">
        <f t="shared" si="89"/>
        <v>5277.0132623744285</v>
      </c>
      <c r="BI22" s="31">
        <f t="shared" si="49"/>
        <v>0.5226103933537759</v>
      </c>
      <c r="BJ22" s="31">
        <f t="shared" si="17"/>
        <v>3.4937653585294569E-2</v>
      </c>
      <c r="BK22" s="655">
        <f t="shared" si="109"/>
        <v>5300.9048315884374</v>
      </c>
      <c r="BL22">
        <v>2.34</v>
      </c>
      <c r="BM22">
        <f t="shared" si="84"/>
        <v>5137958.0339460494</v>
      </c>
      <c r="BN22" s="419">
        <f t="shared" si="50"/>
        <v>5137.958033946049</v>
      </c>
      <c r="BO22">
        <v>271.3</v>
      </c>
      <c r="BP22" s="419">
        <f t="shared" si="51"/>
        <v>4964.1311061594151</v>
      </c>
      <c r="BQ22" s="419"/>
      <c r="BR22" s="419"/>
      <c r="BS22" s="25" t="s">
        <v>398</v>
      </c>
      <c r="BT22" s="31">
        <f>BT14+BT16</f>
        <v>16582.327752526286</v>
      </c>
      <c r="BU22" s="31">
        <f t="shared" ref="BU22:BV22" si="166">BU14+BU16</f>
        <v>16359.374909715341</v>
      </c>
      <c r="BV22" s="31">
        <f t="shared" si="166"/>
        <v>21966.816467582317</v>
      </c>
      <c r="BW22" s="31"/>
      <c r="BZ22" s="419"/>
      <c r="CB22" s="1223" t="s">
        <v>397</v>
      </c>
      <c r="CC22" s="1224"/>
      <c r="CD22" s="1224"/>
      <c r="CE22" s="1224"/>
      <c r="CF22" s="1224"/>
      <c r="CG22" s="1225"/>
      <c r="CH22" s="32">
        <f>SUM(CG16:CG21)</f>
        <v>153254</v>
      </c>
      <c r="CL22" s="31">
        <f t="shared" si="110"/>
        <v>0</v>
      </c>
      <c r="CM22" s="121">
        <f t="shared" si="1"/>
        <v>0</v>
      </c>
      <c r="CP22" t="s">
        <v>302</v>
      </c>
      <c r="CQ22" s="147">
        <f>CM19</f>
        <v>8.2186754844503176E-2</v>
      </c>
      <c r="CR22" s="31">
        <f t="shared" si="52"/>
        <v>110.90143924402196</v>
      </c>
      <c r="CS22">
        <v>13</v>
      </c>
      <c r="CT22">
        <f t="shared" si="53"/>
        <v>0.13</v>
      </c>
      <c r="CU22">
        <v>0.86499999999999999</v>
      </c>
      <c r="CV22">
        <f t="shared" si="54"/>
        <v>0.11245000000000001</v>
      </c>
      <c r="CW22">
        <v>43</v>
      </c>
      <c r="CX22">
        <f t="shared" si="55"/>
        <v>4.83535</v>
      </c>
      <c r="CY22">
        <v>74.054734089485606</v>
      </c>
      <c r="CZ22">
        <v>1.1457692289250001E-4</v>
      </c>
      <c r="DA22">
        <v>2.5659043229536902E-3</v>
      </c>
      <c r="DB22" s="31">
        <f t="shared" si="56"/>
        <v>536.24727424858156</v>
      </c>
      <c r="DC22" s="31">
        <f t="shared" si="57"/>
        <v>39711.649300690173</v>
      </c>
      <c r="DD22" s="31">
        <f t="shared" si="58"/>
        <v>6.1441562592893031E-2</v>
      </c>
      <c r="DE22" s="31">
        <f t="shared" si="59"/>
        <v>1.3759591991665685</v>
      </c>
      <c r="DF22" s="655">
        <f t="shared" si="60"/>
        <v>40077.998852221914</v>
      </c>
      <c r="DG22">
        <v>2.72</v>
      </c>
      <c r="DH22">
        <f t="shared" si="61"/>
        <v>39214748.91668617</v>
      </c>
      <c r="DI22" s="419">
        <f t="shared" si="62"/>
        <v>39214.748916686171</v>
      </c>
      <c r="DJ22">
        <v>239.5</v>
      </c>
      <c r="DK22" s="419">
        <f t="shared" si="63"/>
        <v>26560.894698943259</v>
      </c>
      <c r="DM22" s="25" t="s">
        <v>398</v>
      </c>
      <c r="DN22" s="31">
        <f>DN14+DN16</f>
        <v>14955.122298494509</v>
      </c>
      <c r="DO22" s="31">
        <f t="shared" ref="DO22:DP22" si="167">DO14+DO16</f>
        <v>14587.820856021957</v>
      </c>
      <c r="DP22" s="31">
        <f t="shared" si="167"/>
        <v>19362.08388932074</v>
      </c>
      <c r="DS22" s="1166" t="s">
        <v>397</v>
      </c>
      <c r="DT22" s="1166"/>
      <c r="DU22" s="1166"/>
      <c r="DV22" s="1166"/>
      <c r="DW22" s="1166"/>
      <c r="DX22" s="1166"/>
      <c r="DY22" s="32">
        <f>SUM(DX16:DX21)</f>
        <v>114908</v>
      </c>
      <c r="EC22" s="31">
        <f t="shared" si="111"/>
        <v>0</v>
      </c>
      <c r="ED22" s="121">
        <f t="shared" si="3"/>
        <v>0</v>
      </c>
      <c r="EG22" t="s">
        <v>302</v>
      </c>
      <c r="EH22" s="147">
        <f>ED19</f>
        <v>7.9281905580458611E-2</v>
      </c>
      <c r="EI22" s="31">
        <f t="shared" si="64"/>
        <v>86.473629945922738</v>
      </c>
      <c r="EJ22">
        <v>13</v>
      </c>
      <c r="EK22">
        <f t="shared" si="65"/>
        <v>0.13</v>
      </c>
      <c r="EL22">
        <v>0.86499999999999999</v>
      </c>
      <c r="EM22">
        <f t="shared" si="66"/>
        <v>0.11245000000000001</v>
      </c>
      <c r="EN22">
        <v>43</v>
      </c>
      <c r="EO22">
        <f t="shared" si="67"/>
        <v>4.83535</v>
      </c>
      <c r="EP22">
        <v>74.054734089485606</v>
      </c>
      <c r="EQ22">
        <v>1.1457692289250001E-4</v>
      </c>
      <c r="ER22">
        <v>2.5659043229536902E-3</v>
      </c>
      <c r="ES22" s="31">
        <f t="shared" si="18"/>
        <v>418.13026655901751</v>
      </c>
      <c r="ET22" s="31">
        <f>$ES22*EP22</f>
        <v>30964.525704793778</v>
      </c>
      <c r="EU22" s="31">
        <f t="shared" si="20"/>
        <v>4.7908079310553027E-2</v>
      </c>
      <c r="EV22" s="31">
        <f t="shared" si="21"/>
        <v>1.0728822585215618</v>
      </c>
      <c r="EW22" s="655">
        <f t="shared" si="22"/>
        <v>31250.180929522689</v>
      </c>
      <c r="EX22">
        <v>2.72</v>
      </c>
      <c r="EY22">
        <f t="shared" si="23"/>
        <v>30577075.548878282</v>
      </c>
      <c r="EZ22" s="419">
        <f t="shared" si="68"/>
        <v>30577.075548878282</v>
      </c>
      <c r="FA22">
        <v>239.5</v>
      </c>
      <c r="FB22" s="419">
        <f t="shared" si="24"/>
        <v>20710.434372048498</v>
      </c>
      <c r="FD22" s="25" t="s">
        <v>398</v>
      </c>
      <c r="FE22" s="31">
        <f>FE14+FE16</f>
        <v>9599.8679501088409</v>
      </c>
      <c r="FF22" s="31">
        <f t="shared" ref="FF22:FG22" si="168">FF14+FF16</f>
        <v>9365.0673303239219</v>
      </c>
      <c r="FG22" s="31">
        <f t="shared" si="168"/>
        <v>12446.497863398792</v>
      </c>
      <c r="FJ22" s="651" t="s">
        <v>397</v>
      </c>
      <c r="FK22" s="652"/>
      <c r="FL22" s="652"/>
      <c r="FM22" s="652"/>
      <c r="FN22" s="652"/>
      <c r="FO22" s="653"/>
      <c r="FP22" s="32">
        <f>SUM(FO16:FO21)</f>
        <v>130789</v>
      </c>
      <c r="FT22" s="31">
        <f t="shared" si="112"/>
        <v>0</v>
      </c>
      <c r="FU22" s="121">
        <f t="shared" si="5"/>
        <v>0</v>
      </c>
      <c r="FX22" t="s">
        <v>302</v>
      </c>
      <c r="FY22" s="147">
        <f>FU19</f>
        <v>7.6683758406301913E-2</v>
      </c>
      <c r="FZ22" s="31">
        <f t="shared" si="25"/>
        <v>76.477038369911071</v>
      </c>
      <c r="GA22">
        <v>13</v>
      </c>
      <c r="GB22">
        <f t="shared" si="129"/>
        <v>0.13</v>
      </c>
      <c r="GC22">
        <v>0.86499999999999999</v>
      </c>
      <c r="GD22">
        <f t="shared" si="130"/>
        <v>0.11245000000000001</v>
      </c>
      <c r="GE22">
        <v>43</v>
      </c>
      <c r="GF22">
        <f t="shared" si="131"/>
        <v>4.83535</v>
      </c>
      <c r="GG22">
        <v>73.367636682232202</v>
      </c>
      <c r="GH22">
        <f>0.06636778941357/1000</f>
        <v>6.6367789413569991E-5</v>
      </c>
      <c r="GI22">
        <f>2.52657658902305/1000</f>
        <v>2.5265765890230499E-3</v>
      </c>
      <c r="GJ22" s="31">
        <f t="shared" si="26"/>
        <v>369.79324748194949</v>
      </c>
      <c r="GK22" s="31">
        <f t="shared" si="27"/>
        <v>27130.85662879845</v>
      </c>
      <c r="GL22" s="31">
        <f t="shared" si="28"/>
        <v>2.4542360375442194E-2</v>
      </c>
      <c r="GM22" s="31">
        <f t="shared" si="29"/>
        <v>0.93431096186670048</v>
      </c>
      <c r="GN22" s="655">
        <f t="shared" si="72"/>
        <v>27379.136219783639</v>
      </c>
      <c r="GO22">
        <v>2.72</v>
      </c>
      <c r="GP22">
        <f t="shared" si="30"/>
        <v>27042280.767600555</v>
      </c>
      <c r="GQ22" s="419">
        <f t="shared" si="132"/>
        <v>27042.280767600554</v>
      </c>
      <c r="GR22">
        <v>239.5</v>
      </c>
      <c r="GS22" s="419">
        <f t="shared" si="31"/>
        <v>18316.2506895937</v>
      </c>
      <c r="GU22" s="25" t="s">
        <v>398</v>
      </c>
      <c r="GV22" s="31">
        <f>GV14+GV16</f>
        <v>11698.090093541421</v>
      </c>
      <c r="GW22" s="31">
        <f t="shared" ref="GW22:GX22" si="169">GW14+GW16</f>
        <v>11539.187389320998</v>
      </c>
      <c r="GX22" s="31">
        <f t="shared" si="169"/>
        <v>15342.539903456793</v>
      </c>
      <c r="GZ22" s="1086" t="s">
        <v>122</v>
      </c>
      <c r="HA22" s="1087"/>
      <c r="HB22" s="1087"/>
      <c r="HC22" s="1087"/>
      <c r="HD22" s="1087"/>
      <c r="HE22" s="1088"/>
      <c r="HJ22" s="31">
        <f t="shared" si="6"/>
        <v>0</v>
      </c>
      <c r="HK22" s="121">
        <f t="shared" si="7"/>
        <v>0</v>
      </c>
      <c r="HN22" t="s">
        <v>302</v>
      </c>
      <c r="HO22" s="147">
        <f>HK19</f>
        <v>7.4747703332163865E-2</v>
      </c>
      <c r="HP22" s="31">
        <f t="shared" si="32"/>
        <v>83.020265751054339</v>
      </c>
      <c r="HQ22">
        <v>13</v>
      </c>
      <c r="HR22">
        <f t="shared" si="133"/>
        <v>0.13</v>
      </c>
      <c r="HS22">
        <v>0.86499999999999999</v>
      </c>
      <c r="HT22">
        <f t="shared" si="134"/>
        <v>0.11245000000000001</v>
      </c>
      <c r="HU22">
        <v>43</v>
      </c>
      <c r="HV22">
        <f t="shared" si="135"/>
        <v>4.83535</v>
      </c>
      <c r="HW22">
        <v>73.367561400348293</v>
      </c>
      <c r="HX22">
        <f>0.36897495946676/1000</f>
        <v>3.6897495946676E-4</v>
      </c>
      <c r="HY22">
        <f>2.09444904821954/1000</f>
        <v>2.0944490482195399E-3</v>
      </c>
      <c r="HZ22" s="31">
        <f t="shared" si="33"/>
        <v>401.43204199936059</v>
      </c>
      <c r="IA22" s="31">
        <f t="shared" si="77"/>
        <v>29452.089989455282</v>
      </c>
      <c r="IB22" s="31">
        <f t="shared" si="34"/>
        <v>0.14811837142537276</v>
      </c>
      <c r="IC22" s="31">
        <f t="shared" si="34"/>
        <v>0.84077895829038718</v>
      </c>
      <c r="ID22" s="655">
        <f t="shared" si="35"/>
        <v>29679.043727802145</v>
      </c>
      <c r="IE22">
        <v>2.72</v>
      </c>
      <c r="IF22">
        <f t="shared" si="36"/>
        <v>29355965.969572816</v>
      </c>
      <c r="IG22" s="419">
        <f t="shared" si="136"/>
        <v>29355.965969572815</v>
      </c>
      <c r="IH22">
        <v>239.5</v>
      </c>
      <c r="II22" s="419">
        <f t="shared" si="37"/>
        <v>19883.353647377513</v>
      </c>
      <c r="IK22" s="25" t="s">
        <v>398</v>
      </c>
      <c r="IL22" s="31">
        <f>IL14+IL16</f>
        <v>14936.860757197919</v>
      </c>
      <c r="IM22" s="31">
        <f t="shared" ref="IM22:IN22" si="170">IM14+IM16</f>
        <v>14766.746001628058</v>
      </c>
      <c r="IN22" s="31">
        <f t="shared" si="170"/>
        <v>19550.812867520937</v>
      </c>
      <c r="IP22" s="1192" t="s">
        <v>122</v>
      </c>
      <c r="IQ22" s="1193"/>
      <c r="IR22" s="1193"/>
      <c r="IS22" s="1193"/>
      <c r="IT22" s="1193"/>
      <c r="IU22" s="1194"/>
      <c r="IZ22" s="31">
        <f t="shared" si="8"/>
        <v>0</v>
      </c>
      <c r="JA22" s="121">
        <f t="shared" si="9"/>
        <v>0</v>
      </c>
      <c r="JD22" t="s">
        <v>302</v>
      </c>
      <c r="JE22" s="147">
        <f>JA19</f>
        <v>7.1914439266129379E-2</v>
      </c>
      <c r="JF22" s="31">
        <f t="shared" si="38"/>
        <v>78.997579433007388</v>
      </c>
      <c r="JG22">
        <v>13</v>
      </c>
      <c r="JH22">
        <f t="shared" si="137"/>
        <v>0.13</v>
      </c>
      <c r="JI22">
        <v>0.86499999999999999</v>
      </c>
      <c r="JJ22">
        <f t="shared" si="138"/>
        <v>0.11245000000000001</v>
      </c>
      <c r="JK22">
        <v>43</v>
      </c>
      <c r="JL22">
        <f t="shared" si="139"/>
        <v>4.83535</v>
      </c>
      <c r="JM22">
        <v>73.367561400348293</v>
      </c>
      <c r="JN22">
        <f>0.36897495946676/1000</f>
        <v>3.6897495946676E-4</v>
      </c>
      <c r="JO22">
        <f>2.09444904821954/1000</f>
        <v>2.0944490482195399E-3</v>
      </c>
      <c r="JP22" s="31">
        <f t="shared" si="39"/>
        <v>381.98094571139228</v>
      </c>
      <c r="JQ22" s="31">
        <f t="shared" si="82"/>
        <v>28025.010488243683</v>
      </c>
      <c r="JR22" s="31">
        <f t="shared" si="40"/>
        <v>0.14094140396093563</v>
      </c>
      <c r="JS22" s="31">
        <f t="shared" si="40"/>
        <v>0.80003962818322527</v>
      </c>
      <c r="JT22" s="655">
        <f t="shared" si="41"/>
        <v>28240.967349023143</v>
      </c>
      <c r="JU22">
        <v>2.72</v>
      </c>
      <c r="JV22">
        <f t="shared" si="42"/>
        <v>27933544.087511413</v>
      </c>
      <c r="JW22" s="419">
        <f t="shared" si="140"/>
        <v>27933.544087511415</v>
      </c>
      <c r="JX22">
        <v>239.5</v>
      </c>
      <c r="JY22" s="419">
        <f t="shared" si="43"/>
        <v>18919.920274205269</v>
      </c>
      <c r="KA22" s="25" t="s">
        <v>398</v>
      </c>
      <c r="KB22" s="31">
        <f>KB14+KB16</f>
        <v>14682.610559356704</v>
      </c>
      <c r="KC22" s="31">
        <f t="shared" ref="KC22:KD22" si="171">KC14+KC16</f>
        <v>14516.984286894422</v>
      </c>
      <c r="KD22" s="31">
        <f t="shared" si="171"/>
        <v>19150.900858292309</v>
      </c>
      <c r="KF22" s="25" t="s">
        <v>398</v>
      </c>
      <c r="KG22" s="31">
        <f>KG14+KG16</f>
        <v>14282.104793330222</v>
      </c>
      <c r="KH22" s="31">
        <f t="shared" ref="KH22:KI22" si="172">KH14+KH16</f>
        <v>14120.99640117665</v>
      </c>
      <c r="KI22" s="31">
        <f t="shared" si="172"/>
        <v>18628.511042983904</v>
      </c>
      <c r="KK22" s="25" t="s">
        <v>398</v>
      </c>
      <c r="KL22" s="31">
        <f>KL14+KL16</f>
        <v>13223.836954500219</v>
      </c>
      <c r="KM22" s="31">
        <f t="shared" ref="KM22:KN22" si="173">KM14+KM16</f>
        <v>13074.666286684123</v>
      </c>
      <c r="KN22" s="31">
        <f t="shared" si="173"/>
        <v>17248.185495219692</v>
      </c>
    </row>
    <row r="23" spans="1:300" ht="16.5" customHeight="1" thickBot="1" x14ac:dyDescent="0.8">
      <c r="A23" s="354" t="s">
        <v>329</v>
      </c>
      <c r="B23" s="355"/>
      <c r="C23" s="356">
        <v>39154.089654148054</v>
      </c>
      <c r="D23" s="356">
        <v>39736.608881551052</v>
      </c>
      <c r="E23" s="356">
        <v>37468.701485313599</v>
      </c>
      <c r="F23" s="357">
        <v>116359.40002101271</v>
      </c>
      <c r="G23" s="357"/>
      <c r="H23" s="358"/>
      <c r="I23" s="359"/>
      <c r="J23" s="359"/>
      <c r="K23" s="359"/>
      <c r="L23" s="359"/>
      <c r="M23" s="505"/>
      <c r="O23" s="206">
        <v>2017</v>
      </c>
      <c r="P23" s="160">
        <f>M179</f>
        <v>8.0027290299421239E-2</v>
      </c>
      <c r="Q23" s="95">
        <f>Q22*(1+P23)</f>
        <v>5.4121786189362693</v>
      </c>
      <c r="R23" s="656">
        <f t="shared" si="122"/>
        <v>1284.0393773426299</v>
      </c>
      <c r="S23" s="93">
        <f t="shared" si="123"/>
        <v>33.826116368351684</v>
      </c>
      <c r="T23" s="93">
        <f t="shared" si="141"/>
        <v>1743.6142457913238</v>
      </c>
      <c r="U23" s="656">
        <f t="shared" si="142"/>
        <v>1133.3492597643606</v>
      </c>
      <c r="V23" s="25">
        <f t="shared" si="124"/>
        <v>1250576.6026967256</v>
      </c>
      <c r="W23">
        <f t="shared" si="143"/>
        <v>6.2153657154027258</v>
      </c>
      <c r="X23" s="419">
        <f t="shared" si="144"/>
        <v>1301.5424339599779</v>
      </c>
      <c r="Y23" s="25">
        <f t="shared" si="125"/>
        <v>1025551.7028038384</v>
      </c>
      <c r="Z23">
        <f t="shared" si="126"/>
        <v>5.2187045544705564</v>
      </c>
      <c r="AA23" s="25">
        <f t="shared" si="127"/>
        <v>1643.8919346582252</v>
      </c>
      <c r="AB23" s="419">
        <f t="shared" si="128"/>
        <v>1068.5297575278464</v>
      </c>
      <c r="AC23" s="419"/>
      <c r="AD23" s="419"/>
      <c r="AE23" s="419"/>
      <c r="AF23" s="419"/>
      <c r="AG23" s="795" t="s">
        <v>334</v>
      </c>
      <c r="AH23" s="793">
        <v>27410</v>
      </c>
      <c r="AI23" s="793">
        <v>4091</v>
      </c>
      <c r="AJ23" s="794">
        <v>0.15</v>
      </c>
      <c r="AK23" s="795">
        <v>37.82</v>
      </c>
      <c r="AL23" s="802">
        <v>13804</v>
      </c>
      <c r="AM23" s="419"/>
      <c r="AN23" s="902">
        <f t="shared" ref="AN23:AO29" si="174">AH23/$FK$30</f>
        <v>0.10166348311481187</v>
      </c>
      <c r="AO23" s="902">
        <f t="shared" si="174"/>
        <v>1.5173488121951672E-2</v>
      </c>
      <c r="AP23">
        <f t="shared" si="11"/>
        <v>378.36763999999999</v>
      </c>
      <c r="AR23" s="121">
        <f t="shared" si="12"/>
        <v>7.6138212852453424E-2</v>
      </c>
      <c r="AS23" s="419"/>
      <c r="AT23" t="s">
        <v>325</v>
      </c>
      <c r="AU23" t="s">
        <v>302</v>
      </c>
      <c r="AV23" s="147">
        <f>AR19</f>
        <v>8.7464501979360801E-2</v>
      </c>
      <c r="AW23" s="31">
        <f t="shared" si="44"/>
        <v>123.45220799231812</v>
      </c>
      <c r="AX23">
        <v>13</v>
      </c>
      <c r="AY23">
        <f t="shared" si="45"/>
        <v>0.13</v>
      </c>
      <c r="AZ23">
        <v>0.86499999999999999</v>
      </c>
      <c r="BA23">
        <f t="shared" si="46"/>
        <v>0.11245000000000001</v>
      </c>
      <c r="BB23">
        <v>43</v>
      </c>
      <c r="BC23">
        <f t="shared" si="47"/>
        <v>4.83535</v>
      </c>
      <c r="BD23">
        <v>73.510933419407394</v>
      </c>
      <c r="BE23">
        <v>8.2398639563294998E-4</v>
      </c>
      <c r="BF23">
        <v>3.54663097127342E-3</v>
      </c>
      <c r="BG23" s="31">
        <f t="shared" si="48"/>
        <v>596.93463391565547</v>
      </c>
      <c r="BH23" s="31">
        <f t="shared" si="89"/>
        <v>43881.222129512076</v>
      </c>
      <c r="BI23" s="31">
        <f t="shared" si="49"/>
        <v>0.49186601742863545</v>
      </c>
      <c r="BJ23" s="31">
        <f t="shared" si="17"/>
        <v>2.1171068604710244</v>
      </c>
      <c r="BK23" s="655">
        <f t="shared" si="109"/>
        <v>44456.027696024896</v>
      </c>
      <c r="BL23">
        <v>2.72</v>
      </c>
      <c r="BM23">
        <f t="shared" si="84"/>
        <v>43652700.746083692</v>
      </c>
      <c r="BN23" s="419">
        <f t="shared" si="50"/>
        <v>43652.70074608369</v>
      </c>
      <c r="BO23">
        <v>239.5</v>
      </c>
      <c r="BP23" s="419">
        <f t="shared" si="51"/>
        <v>29566.80381416019</v>
      </c>
      <c r="BQ23" s="419"/>
      <c r="BR23" s="419"/>
      <c r="BS23" t="s">
        <v>227</v>
      </c>
      <c r="BT23" s="31">
        <f>BT15+BT17+BT18</f>
        <v>105085.91101961138</v>
      </c>
      <c r="BU23" s="31">
        <f>BU15+BU17+BU18</f>
        <v>103106.08141111696</v>
      </c>
      <c r="BV23" s="31">
        <f>BV15+BV17+BV18</f>
        <v>93710.854009320203</v>
      </c>
      <c r="BW23" s="31"/>
      <c r="BZ23" s="419"/>
      <c r="CB23" s="795" t="s">
        <v>334</v>
      </c>
      <c r="CC23" s="793">
        <v>17323</v>
      </c>
      <c r="CD23" s="793">
        <v>1993</v>
      </c>
      <c r="CE23" s="794">
        <v>0.12</v>
      </c>
      <c r="CF23" s="795">
        <v>37.75</v>
      </c>
      <c r="CG23" s="802">
        <v>13779</v>
      </c>
      <c r="CI23" s="121">
        <f t="shared" ref="CI23:CJ28" si="175">CC23/$FK$30</f>
        <v>6.4250876249466835E-2</v>
      </c>
      <c r="CJ23" s="121">
        <f t="shared" si="175"/>
        <v>7.3920219572353174E-3</v>
      </c>
      <c r="CL23" s="31">
        <f>CG23*CC23/1000000</f>
        <v>238.69361699999999</v>
      </c>
      <c r="CM23" s="121">
        <f t="shared" si="1"/>
        <v>4.8580199515719673E-2</v>
      </c>
      <c r="CO23" t="s">
        <v>325</v>
      </c>
      <c r="CP23" t="s">
        <v>264</v>
      </c>
      <c r="CQ23" s="147">
        <f>CM11</f>
        <v>5.4715752360508565E-6</v>
      </c>
      <c r="CR23" s="31">
        <f t="shared" si="52"/>
        <v>7.383252566159371E-3</v>
      </c>
      <c r="CS23">
        <v>25</v>
      </c>
      <c r="CT23">
        <f t="shared" si="53"/>
        <v>0.25</v>
      </c>
      <c r="CU23">
        <v>0.75</v>
      </c>
      <c r="CV23">
        <f t="shared" si="54"/>
        <v>0.1875</v>
      </c>
      <c r="CW23">
        <v>44.3</v>
      </c>
      <c r="CX23">
        <f t="shared" si="55"/>
        <v>8.3062499999999986</v>
      </c>
      <c r="CY23">
        <v>71.051104664576499</v>
      </c>
      <c r="CZ23">
        <v>1.53682172957139E-2</v>
      </c>
      <c r="DA23">
        <v>8.2329735512008E-4</v>
      </c>
      <c r="DB23" s="31">
        <f t="shared" si="56"/>
        <v>6.1327141627661265E-2</v>
      </c>
      <c r="DC23" s="31">
        <f t="shared" si="57"/>
        <v>4.3573611585662668</v>
      </c>
      <c r="DD23" s="31">
        <f t="shared" si="58"/>
        <v>9.4248883865891977E-4</v>
      </c>
      <c r="DE23" s="31">
        <f t="shared" si="59"/>
        <v>5.0490473499128076E-5</v>
      </c>
      <c r="DF23" s="655">
        <f t="shared" si="60"/>
        <v>4.3971308215259857</v>
      </c>
      <c r="DG23">
        <v>2.34</v>
      </c>
      <c r="DH23">
        <f t="shared" si="61"/>
        <v>4319.2027512032319</v>
      </c>
      <c r="DI23" s="419">
        <f t="shared" si="62"/>
        <v>4.3192027512032318</v>
      </c>
      <c r="DJ23">
        <v>801.2</v>
      </c>
      <c r="DK23" s="419">
        <f t="shared" si="63"/>
        <v>5.9154619560068893</v>
      </c>
      <c r="DM23" t="s">
        <v>227</v>
      </c>
      <c r="DN23" s="31">
        <f>DN15+DN17+DN18</f>
        <v>103107.90508252612</v>
      </c>
      <c r="DO23" s="31">
        <f>DO15+DO17+DO18</f>
        <v>100870.56169633602</v>
      </c>
      <c r="DP23" s="31">
        <f>DP15+DP17+DP18</f>
        <v>93094.54819795239</v>
      </c>
      <c r="DS23" s="732" t="s">
        <v>334</v>
      </c>
      <c r="DT23" s="733">
        <v>10484</v>
      </c>
      <c r="DU23" s="733">
        <v>1383</v>
      </c>
      <c r="DV23" s="734">
        <v>0.13</v>
      </c>
      <c r="DW23" s="732">
        <v>32.9</v>
      </c>
      <c r="DX23" s="733">
        <v>12010</v>
      </c>
      <c r="DZ23" s="121">
        <f t="shared" ref="DZ23:EA28" si="176">DT23/$FK$30</f>
        <v>3.8885076868868572E-2</v>
      </c>
      <c r="EA23" s="121">
        <f t="shared" si="176"/>
        <v>5.1295365613930975E-3</v>
      </c>
      <c r="EC23" s="31">
        <f>DX23*DT23/1000000</f>
        <v>125.91284</v>
      </c>
      <c r="ED23" s="121">
        <f t="shared" si="3"/>
        <v>3.0214432401348766E-2</v>
      </c>
      <c r="EF23" t="s">
        <v>325</v>
      </c>
      <c r="EG23" t="s">
        <v>264</v>
      </c>
      <c r="EH23" s="147">
        <f>ED11</f>
        <v>8.0639591708623635E-6</v>
      </c>
      <c r="EI23" s="31">
        <f t="shared" si="64"/>
        <v>8.7954472856673765E-3</v>
      </c>
      <c r="EJ23">
        <v>25</v>
      </c>
      <c r="EK23">
        <f t="shared" si="65"/>
        <v>0.25</v>
      </c>
      <c r="EL23">
        <v>0.75</v>
      </c>
      <c r="EM23">
        <f t="shared" si="66"/>
        <v>0.1875</v>
      </c>
      <c r="EN23">
        <v>44.3</v>
      </c>
      <c r="EO23">
        <f t="shared" si="67"/>
        <v>8.3062499999999986</v>
      </c>
      <c r="EP23">
        <v>71.051104664576499</v>
      </c>
      <c r="EQ23">
        <v>1.53682172957139E-2</v>
      </c>
      <c r="ER23">
        <v>8.2329735512008E-4</v>
      </c>
      <c r="ES23" s="31">
        <f t="shared" si="18"/>
        <v>7.3057184016574628E-2</v>
      </c>
      <c r="ET23" s="31">
        <f t="shared" si="19"/>
        <v>5.1907936280608693</v>
      </c>
      <c r="EU23" s="31">
        <f t="shared" si="20"/>
        <v>1.1227586789796752E-3</v>
      </c>
      <c r="EV23" s="31">
        <f t="shared" si="21"/>
        <v>6.0147786373366874E-5</v>
      </c>
      <c r="EW23" s="655">
        <f t="shared" si="22"/>
        <v>5.2381700344612421</v>
      </c>
      <c r="EX23">
        <v>2.34</v>
      </c>
      <c r="EY23">
        <f t="shared" si="23"/>
        <v>5145.3366621154146</v>
      </c>
      <c r="EZ23" s="419">
        <f t="shared" si="68"/>
        <v>5.1453366621154144</v>
      </c>
      <c r="FA23">
        <v>801.2</v>
      </c>
      <c r="FB23" s="419">
        <f t="shared" si="24"/>
        <v>7.0469123652767029</v>
      </c>
      <c r="FD23" t="s">
        <v>227</v>
      </c>
      <c r="FE23" s="31">
        <f>FE15+FE17+FE18</f>
        <v>76377.297923741542</v>
      </c>
      <c r="FF23" s="31">
        <f t="shared" ref="FF23:FG23" si="177">FF15+FF17+FF18</f>
        <v>74736.83915165154</v>
      </c>
      <c r="FG23" s="31">
        <f t="shared" si="177"/>
        <v>68149.579950235726</v>
      </c>
      <c r="FJ23" s="635" t="s">
        <v>334</v>
      </c>
      <c r="FK23" s="626">
        <v>6271</v>
      </c>
      <c r="FL23" s="628">
        <v>827</v>
      </c>
      <c r="FM23" s="627">
        <v>0.13</v>
      </c>
      <c r="FN23" s="628">
        <v>32.21</v>
      </c>
      <c r="FO23" s="636">
        <v>11755</v>
      </c>
      <c r="FQ23" s="121">
        <f t="shared" ref="FQ23:FR28" si="178">FK23/$FK$30</f>
        <v>2.3259091667748456E-2</v>
      </c>
      <c r="FR23" s="121">
        <f t="shared" si="178"/>
        <v>3.0673367579696974E-3</v>
      </c>
      <c r="FT23" s="31">
        <f>FO23*FK23/1000000</f>
        <v>73.715604999999996</v>
      </c>
      <c r="FU23" s="121">
        <f t="shared" si="5"/>
        <v>1.768902332913011E-2</v>
      </c>
      <c r="FW23" t="s">
        <v>325</v>
      </c>
      <c r="FX23" t="s">
        <v>264</v>
      </c>
      <c r="FY23" s="147">
        <f>FU11</f>
        <v>1.2111416374699157E-5</v>
      </c>
      <c r="FZ23" s="31">
        <f t="shared" si="25"/>
        <v>1.2078767056437305E-2</v>
      </c>
      <c r="GA23">
        <v>25</v>
      </c>
      <c r="GB23">
        <f t="shared" si="129"/>
        <v>0.25</v>
      </c>
      <c r="GC23">
        <v>0.75</v>
      </c>
      <c r="GD23">
        <f t="shared" si="130"/>
        <v>0.1875</v>
      </c>
      <c r="GE23">
        <v>44.3</v>
      </c>
      <c r="GF23">
        <f t="shared" si="131"/>
        <v>8.3062499999999986</v>
      </c>
      <c r="GG23">
        <v>72.512080209241503</v>
      </c>
      <c r="GH23">
        <f>15.8206501432308/1000</f>
        <v>1.5820650143230801E-2</v>
      </c>
      <c r="GI23">
        <f>0.84755262174617/1000</f>
        <v>8.4755262174616996E-4</v>
      </c>
      <c r="GJ23" s="31">
        <f t="shared" si="26"/>
        <v>0.10032925886253236</v>
      </c>
      <c r="GK23" s="31">
        <f t="shared" si="27"/>
        <v>7.2750832659737004</v>
      </c>
      <c r="GL23" s="31">
        <f t="shared" si="28"/>
        <v>1.5872741035937625E-3</v>
      </c>
      <c r="GM23" s="31">
        <f t="shared" si="29"/>
        <v>8.5034326386789462E-5</v>
      </c>
      <c r="GN23" s="655">
        <f t="shared" si="72"/>
        <v>7.3420610373668254</v>
      </c>
      <c r="GO23">
        <v>2.34</v>
      </c>
      <c r="GP23">
        <f t="shared" si="30"/>
        <v>7066.0787280158229</v>
      </c>
      <c r="GQ23" s="419">
        <f t="shared" si="132"/>
        <v>7.0660787280158228</v>
      </c>
      <c r="GR23">
        <v>801.2</v>
      </c>
      <c r="GS23" s="419">
        <f t="shared" si="31"/>
        <v>9.677508165617569</v>
      </c>
      <c r="GU23" t="s">
        <v>227</v>
      </c>
      <c r="GV23" s="31">
        <f>GV15+GV17+GV18</f>
        <v>66681.153020764716</v>
      </c>
      <c r="GW23" s="31">
        <f t="shared" ref="GW23:GX23" si="179">GW15+GW17+GW18</f>
        <v>65754.161726957391</v>
      </c>
      <c r="GX23" s="31">
        <f t="shared" si="179"/>
        <v>59875.111360226671</v>
      </c>
      <c r="GZ23" s="116" t="s">
        <v>223</v>
      </c>
      <c r="HA23" s="117">
        <v>269825</v>
      </c>
      <c r="HB23" s="117">
        <v>126330</v>
      </c>
      <c r="HC23" s="118">
        <v>0.47</v>
      </c>
      <c r="HD23" s="119">
        <v>35.020000000000003</v>
      </c>
      <c r="HE23" s="120">
        <v>12781</v>
      </c>
      <c r="HF23" s="121">
        <f t="shared" ref="HF23:HF28" si="180">HA23/$HA$29</f>
        <v>0.85715874074780007</v>
      </c>
      <c r="HG23" s="121">
        <f>(HA23-HA16-HA9)/HA23</f>
        <v>7.0334476049291203E-2</v>
      </c>
      <c r="HH23" s="121">
        <f>(HB23-HB16-HB9)/HB23</f>
        <v>2.2496635795139712E-2</v>
      </c>
      <c r="HJ23" s="31">
        <f>HE23*(HA23-HA16-HA9)/1000000</f>
        <v>242.557818</v>
      </c>
      <c r="HK23" s="121">
        <f t="shared" si="7"/>
        <v>5.7102950084249225E-2</v>
      </c>
      <c r="HM23" t="s">
        <v>325</v>
      </c>
      <c r="HN23" t="s">
        <v>264</v>
      </c>
      <c r="HO23" s="147">
        <f>HK11</f>
        <v>4.12978389741252E-5</v>
      </c>
      <c r="HP23" s="31">
        <f t="shared" si="32"/>
        <v>4.5868400147898836E-2</v>
      </c>
      <c r="HQ23">
        <v>25</v>
      </c>
      <c r="HR23">
        <f t="shared" si="133"/>
        <v>0.25</v>
      </c>
      <c r="HS23">
        <v>0.75</v>
      </c>
      <c r="HT23">
        <f t="shared" si="134"/>
        <v>0.1875</v>
      </c>
      <c r="HU23">
        <v>44.3</v>
      </c>
      <c r="HV23">
        <f t="shared" si="135"/>
        <v>8.3062499999999986</v>
      </c>
      <c r="HW23">
        <v>72.512080209241503</v>
      </c>
      <c r="HX23">
        <f>15.8206501432308/1000</f>
        <v>1.5820650143230801E-2</v>
      </c>
      <c r="HY23">
        <f>0.84755262174617/1000</f>
        <v>8.4755262174616996E-4</v>
      </c>
      <c r="HZ23" s="31">
        <f t="shared" si="33"/>
        <v>0.38099439872848462</v>
      </c>
      <c r="IA23" s="31">
        <f t="shared" si="77"/>
        <v>27.626696399871616</v>
      </c>
      <c r="IB23" s="31">
        <f t="shared" si="34"/>
        <v>6.0275790888139327E-3</v>
      </c>
      <c r="IC23" s="31">
        <f t="shared" si="34"/>
        <v>3.2291280151293281E-4</v>
      </c>
      <c r="ID23" s="655">
        <f t="shared" si="35"/>
        <v>27.881040506759334</v>
      </c>
      <c r="IE23">
        <v>2.34</v>
      </c>
      <c r="IF23">
        <f t="shared" si="36"/>
        <v>26833.014086520816</v>
      </c>
      <c r="IG23" s="419">
        <f t="shared" si="136"/>
        <v>26.833014086520816</v>
      </c>
      <c r="IH23">
        <v>801.2</v>
      </c>
      <c r="II23" s="419">
        <f t="shared" si="37"/>
        <v>36.749762198496548</v>
      </c>
      <c r="IK23" t="s">
        <v>227</v>
      </c>
      <c r="IL23" s="31">
        <f>IL15+IL17+IL18</f>
        <v>74478.166463181537</v>
      </c>
      <c r="IM23" s="31">
        <f t="shared" ref="IM23:IN23" si="181">IM15+IM17+IM18</f>
        <v>73459.811947107853</v>
      </c>
      <c r="IN23" s="31">
        <f t="shared" si="181"/>
        <v>67132.818711334214</v>
      </c>
      <c r="IP23" s="635" t="s">
        <v>223</v>
      </c>
      <c r="IQ23" s="626">
        <v>267383</v>
      </c>
      <c r="IR23" s="626">
        <v>130814</v>
      </c>
      <c r="IS23" s="627">
        <v>0.49</v>
      </c>
      <c r="IT23" s="628">
        <v>34.880000000000003</v>
      </c>
      <c r="IU23" s="636">
        <v>12730</v>
      </c>
      <c r="IV23" s="121">
        <f t="shared" ref="IV23:IV28" si="182">IQ23/$HA$29</f>
        <v>0.84940118809364973</v>
      </c>
      <c r="IW23" s="121">
        <f>(IQ23-IQ16-IQ9)/IQ23</f>
        <v>5.5530830307087588E-2</v>
      </c>
      <c r="IX23" s="121">
        <f>(IR23-IR16-IR9)/IR23</f>
        <v>-3.0287278120078892E-2</v>
      </c>
      <c r="IZ23" s="31">
        <f>IU23*(IQ23-IQ16-IQ9)/1000000</f>
        <v>189.01504</v>
      </c>
      <c r="JA23" s="121">
        <f t="shared" si="9"/>
        <v>4.4497911810421918E-2</v>
      </c>
      <c r="JC23" t="s">
        <v>325</v>
      </c>
      <c r="JD23" t="s">
        <v>264</v>
      </c>
      <c r="JE23" s="147">
        <f>JA11</f>
        <v>4.5074916698132824E-5</v>
      </c>
      <c r="JF23" s="31">
        <f t="shared" si="38"/>
        <v>4.9514525158427074E-2</v>
      </c>
      <c r="JG23">
        <v>25</v>
      </c>
      <c r="JH23">
        <f t="shared" si="137"/>
        <v>0.25</v>
      </c>
      <c r="JI23">
        <v>0.75</v>
      </c>
      <c r="JJ23">
        <f t="shared" si="138"/>
        <v>0.1875</v>
      </c>
      <c r="JK23">
        <v>44.3</v>
      </c>
      <c r="JL23">
        <f t="shared" si="139"/>
        <v>8.3062499999999986</v>
      </c>
      <c r="JM23">
        <v>72.512080209241503</v>
      </c>
      <c r="JN23">
        <f>15.8206501432308/1000</f>
        <v>1.5820650143230801E-2</v>
      </c>
      <c r="JO23">
        <f>0.84755262174617/1000</f>
        <v>8.4755262174616996E-4</v>
      </c>
      <c r="JP23" s="31">
        <f t="shared" si="39"/>
        <v>0.41128002459718482</v>
      </c>
      <c r="JQ23" s="31">
        <f t="shared" si="82"/>
        <v>29.822770132049886</v>
      </c>
      <c r="JR23" s="31">
        <f t="shared" si="40"/>
        <v>6.5067173800514196E-3</v>
      </c>
      <c r="JS23" s="31">
        <f t="shared" si="40"/>
        <v>3.4858146311917326E-4</v>
      </c>
      <c r="JT23" s="655">
        <f t="shared" si="41"/>
        <v>30.097332306417904</v>
      </c>
      <c r="JU23">
        <v>2.34</v>
      </c>
      <c r="JV23">
        <f t="shared" si="42"/>
        <v>28965.997217679836</v>
      </c>
      <c r="JW23" s="419">
        <f t="shared" si="140"/>
        <v>28.965997217679835</v>
      </c>
      <c r="JX23">
        <v>801.2</v>
      </c>
      <c r="JY23" s="419">
        <f t="shared" si="43"/>
        <v>39.671037556931772</v>
      </c>
      <c r="KA23" t="s">
        <v>227</v>
      </c>
      <c r="KB23" s="31">
        <f>KB15+KB17+KB18</f>
        <v>72118.890560201733</v>
      </c>
      <c r="KC23" s="31">
        <f t="shared" ref="KC23:KD23" si="183">KC15+KC17+KC18</f>
        <v>71138.999567726321</v>
      </c>
      <c r="KD23" s="31">
        <f t="shared" si="183"/>
        <v>65278.900979451704</v>
      </c>
      <c r="KF23" t="s">
        <v>227</v>
      </c>
      <c r="KG23" s="31">
        <f>KG15+KG17+KG18</f>
        <v>70151.663315971178</v>
      </c>
      <c r="KH23" s="31">
        <f t="shared" ref="KH23:KI23" si="184">KH15+KH17+KH18</f>
        <v>69198.501357203859</v>
      </c>
      <c r="KI23" s="31">
        <f t="shared" si="184"/>
        <v>63498.251950013182</v>
      </c>
      <c r="KK23" t="s">
        <v>227</v>
      </c>
      <c r="KL23" s="31">
        <f>KL15+KL17+KL18</f>
        <v>64953.602511768651</v>
      </c>
      <c r="KM23" s="31">
        <f t="shared" ref="KM23:KN23" si="185">KM15+KM17+KM18</f>
        <v>64071.067443138061</v>
      </c>
      <c r="KN23" s="31">
        <f t="shared" si="185"/>
        <v>58793.192098330459</v>
      </c>
    </row>
    <row r="24" spans="1:300" ht="16.5" customHeight="1" thickBot="1" x14ac:dyDescent="0.8">
      <c r="A24" s="1161">
        <v>2006</v>
      </c>
      <c r="B24" s="506" t="s">
        <v>295</v>
      </c>
      <c r="C24" s="334">
        <v>37989</v>
      </c>
      <c r="D24" s="335">
        <v>38437</v>
      </c>
      <c r="E24" s="336">
        <v>34682</v>
      </c>
      <c r="F24" s="337">
        <v>111108</v>
      </c>
      <c r="G24" s="381">
        <v>111108</v>
      </c>
      <c r="H24" s="1176" t="s">
        <v>330</v>
      </c>
      <c r="I24" s="360">
        <v>2.7729682934747323E-2</v>
      </c>
      <c r="J24" s="507">
        <v>7.1027113828670246E-2</v>
      </c>
      <c r="K24" s="508">
        <v>6.2644656554256883E-2</v>
      </c>
      <c r="L24" s="361">
        <v>6.2644656554256883E-2</v>
      </c>
      <c r="M24" s="509">
        <v>6.2644656554256883E-2</v>
      </c>
      <c r="O24" s="206">
        <v>2018</v>
      </c>
      <c r="P24" s="160">
        <f>M192</f>
        <v>2.8042488962377606E-2</v>
      </c>
      <c r="Q24" s="95">
        <f t="shared" si="157"/>
        <v>5.563949578120206</v>
      </c>
      <c r="R24" s="656">
        <f t="shared" si="122"/>
        <v>1320.0470374090189</v>
      </c>
      <c r="S24" s="93">
        <f t="shared" si="123"/>
        <v>34.774684863251288</v>
      </c>
      <c r="T24" s="93">
        <f t="shared" si="141"/>
        <v>1792.5095290335714</v>
      </c>
      <c r="U24" s="656">
        <f t="shared" si="142"/>
        <v>1165.1311938718216</v>
      </c>
      <c r="V24" s="25">
        <f t="shared" si="124"/>
        <v>1285645.8832744563</v>
      </c>
      <c r="W24">
        <f t="shared" si="143"/>
        <v>6.3896600398740464</v>
      </c>
      <c r="X24" s="419">
        <f t="shared" si="144"/>
        <v>1338.0409232983668</v>
      </c>
      <c r="Y24" s="25">
        <f t="shared" si="125"/>
        <v>1054310.7251100626</v>
      </c>
      <c r="Z24">
        <f t="shared" si="126"/>
        <v>5.3650500193372075</v>
      </c>
      <c r="AA24" s="25">
        <f t="shared" si="127"/>
        <v>1689.9907560912204</v>
      </c>
      <c r="AB24" s="419">
        <f t="shared" si="128"/>
        <v>1098.4939914592933</v>
      </c>
      <c r="AC24" s="419"/>
      <c r="AD24" s="419"/>
      <c r="AE24" s="419"/>
      <c r="AF24" s="419"/>
      <c r="AG24" s="796" t="s">
        <v>335</v>
      </c>
      <c r="AH24" s="798">
        <v>13889</v>
      </c>
      <c r="AI24" s="798">
        <v>4512</v>
      </c>
      <c r="AJ24" s="797">
        <v>0.32</v>
      </c>
      <c r="AK24" s="796">
        <v>36.26</v>
      </c>
      <c r="AL24" s="803">
        <v>13235</v>
      </c>
      <c r="AM24" s="419"/>
      <c r="AN24" s="902">
        <f t="shared" si="174"/>
        <v>5.1514196168610797E-2</v>
      </c>
      <c r="AO24" s="902">
        <f t="shared" si="174"/>
        <v>1.6734973944328022E-2</v>
      </c>
      <c r="AP24">
        <f t="shared" si="11"/>
        <v>183.82091500000001</v>
      </c>
      <c r="AR24" s="121">
        <f t="shared" si="12"/>
        <v>3.6989939078835465E-2</v>
      </c>
      <c r="AS24" s="419"/>
      <c r="AU24" t="s">
        <v>264</v>
      </c>
      <c r="AV24" s="147">
        <f>AR11</f>
        <v>0</v>
      </c>
      <c r="AW24" s="31">
        <f t="shared" si="44"/>
        <v>0</v>
      </c>
      <c r="AX24">
        <v>25</v>
      </c>
      <c r="AY24">
        <f t="shared" si="45"/>
        <v>0.25</v>
      </c>
      <c r="AZ24">
        <v>0.75</v>
      </c>
      <c r="BA24">
        <f t="shared" si="46"/>
        <v>0.1875</v>
      </c>
      <c r="BB24">
        <v>44.3</v>
      </c>
      <c r="BC24">
        <f t="shared" si="47"/>
        <v>8.3062499999999986</v>
      </c>
      <c r="BD24">
        <v>72.326894595976398</v>
      </c>
      <c r="BE24">
        <v>1.4879032033184299E-2</v>
      </c>
      <c r="BF24">
        <v>7.9709100174625005E-4</v>
      </c>
      <c r="BG24" s="31">
        <f t="shared" si="48"/>
        <v>0</v>
      </c>
      <c r="BH24" s="31">
        <f t="shared" si="89"/>
        <v>0</v>
      </c>
      <c r="BI24" s="31">
        <f t="shared" si="49"/>
        <v>0</v>
      </c>
      <c r="BJ24" s="31">
        <f t="shared" si="17"/>
        <v>0</v>
      </c>
      <c r="BK24" s="655">
        <f t="shared" si="109"/>
        <v>0</v>
      </c>
      <c r="BL24">
        <v>2.34</v>
      </c>
      <c r="BM24">
        <f t="shared" si="84"/>
        <v>0</v>
      </c>
      <c r="BN24" s="419">
        <f t="shared" si="50"/>
        <v>0</v>
      </c>
      <c r="BO24">
        <v>801.2</v>
      </c>
      <c r="BP24" s="419">
        <f t="shared" si="51"/>
        <v>0</v>
      </c>
      <c r="BQ24" s="419"/>
      <c r="BR24" s="419"/>
      <c r="BT24" s="655">
        <f>SUM(BT21:BT23)</f>
        <v>341198.53527085006</v>
      </c>
      <c r="BU24" s="655">
        <f t="shared" ref="BU24" si="186">SUM(BU21:BU23)</f>
        <v>342170.46942636441</v>
      </c>
      <c r="BV24" s="655">
        <f>SUM(BV21:BV23)</f>
        <v>311239.60182758537</v>
      </c>
      <c r="BW24" s="655"/>
      <c r="BZ24" s="419"/>
      <c r="CB24" s="796" t="s">
        <v>335</v>
      </c>
      <c r="CC24" s="798">
        <v>11264</v>
      </c>
      <c r="CD24" s="798">
        <v>3394</v>
      </c>
      <c r="CE24" s="797">
        <v>0.3</v>
      </c>
      <c r="CF24" s="796">
        <v>33.840000000000003</v>
      </c>
      <c r="CG24" s="803">
        <v>12352</v>
      </c>
      <c r="CI24" s="121">
        <f t="shared" si="175"/>
        <v>4.1778090981584852E-2</v>
      </c>
      <c r="CJ24" s="121">
        <f t="shared" si="175"/>
        <v>1.258832038276802E-2</v>
      </c>
      <c r="CL24" s="31">
        <f t="shared" ref="CL24:CL25" si="187">CG24*CC24/1000000</f>
        <v>139.13292799999999</v>
      </c>
      <c r="CM24" s="121">
        <f t="shared" si="1"/>
        <v>2.8317076453059319E-2</v>
      </c>
      <c r="CP24" t="s">
        <v>302</v>
      </c>
      <c r="CQ24" s="147">
        <f>CM18</f>
        <v>1.5940934999050221E-2</v>
      </c>
      <c r="CR24" s="31">
        <f t="shared" si="52"/>
        <v>21.510432400389519</v>
      </c>
      <c r="CS24">
        <v>21.22</v>
      </c>
      <c r="CT24">
        <f t="shared" si="53"/>
        <v>0.2122</v>
      </c>
      <c r="CU24">
        <v>0.86499999999999999</v>
      </c>
      <c r="CV24">
        <f t="shared" si="54"/>
        <v>0.18355299999999999</v>
      </c>
      <c r="CW24">
        <v>43</v>
      </c>
      <c r="CX24">
        <f t="shared" si="55"/>
        <v>7.892779</v>
      </c>
      <c r="CY24">
        <v>74.054734089485507</v>
      </c>
      <c r="CZ24">
        <v>1.4363980931045299E-3</v>
      </c>
      <c r="DA24">
        <v>3.0837733297494202E-3</v>
      </c>
      <c r="DB24" s="31">
        <f t="shared" si="56"/>
        <v>169.77708913071399</v>
      </c>
      <c r="DC24" s="31">
        <f t="shared" si="57"/>
        <v>12572.797190061905</v>
      </c>
      <c r="DD24" s="31">
        <f t="shared" si="58"/>
        <v>0.2438674870801954</v>
      </c>
      <c r="DE24" s="31">
        <f t="shared" si="59"/>
        <v>0.52355405946378597</v>
      </c>
      <c r="DF24" s="655">
        <f t="shared" si="60"/>
        <v>12718.367305458054</v>
      </c>
      <c r="DG24">
        <v>2.72</v>
      </c>
      <c r="DH24">
        <f t="shared" si="61"/>
        <v>12415477.414586425</v>
      </c>
      <c r="DI24" s="419">
        <f t="shared" si="62"/>
        <v>12415.477414586425</v>
      </c>
      <c r="DJ24">
        <v>801.2</v>
      </c>
      <c r="DK24" s="419">
        <f t="shared" si="63"/>
        <v>17234.158439192084</v>
      </c>
      <c r="DM24"/>
      <c r="DN24" s="655">
        <f>SUM(DN21:DN23)</f>
        <v>339943.74539936369</v>
      </c>
      <c r="DO24" s="655">
        <f t="shared" ref="DO24" si="188">SUM(DO21:DO23)</f>
        <v>340184.27952876082</v>
      </c>
      <c r="DP24" s="655">
        <f>SUM(DP21:DP23)</f>
        <v>309416.67930796801</v>
      </c>
      <c r="DS24" s="735" t="s">
        <v>335</v>
      </c>
      <c r="DT24" s="737">
        <v>8545</v>
      </c>
      <c r="DU24" s="737">
        <v>2660</v>
      </c>
      <c r="DV24" s="736">
        <v>0.31</v>
      </c>
      <c r="DW24" s="735">
        <v>33.200000000000003</v>
      </c>
      <c r="DX24" s="737">
        <v>12120</v>
      </c>
      <c r="DZ24" s="121">
        <f t="shared" si="176"/>
        <v>3.1693340504052071E-2</v>
      </c>
      <c r="EA24" s="121">
        <f t="shared" si="176"/>
        <v>9.8659199228529563E-3</v>
      </c>
      <c r="EC24" s="31">
        <f t="shared" si="111"/>
        <v>103.5654</v>
      </c>
      <c r="ED24" s="121">
        <f t="shared" si="3"/>
        <v>2.4851871956971548E-2</v>
      </c>
      <c r="EG24" t="s">
        <v>302</v>
      </c>
      <c r="EH24" s="147">
        <f>ED18</f>
        <v>1.2683066013002835E-2</v>
      </c>
      <c r="EI24" s="31">
        <f t="shared" si="64"/>
        <v>13.833556963071327</v>
      </c>
      <c r="EJ24">
        <v>21.22</v>
      </c>
      <c r="EK24">
        <f t="shared" si="65"/>
        <v>0.2122</v>
      </c>
      <c r="EL24">
        <v>0.86499999999999999</v>
      </c>
      <c r="EM24">
        <f t="shared" si="66"/>
        <v>0.18355299999999999</v>
      </c>
      <c r="EN24">
        <v>43</v>
      </c>
      <c r="EO24">
        <f t="shared" si="67"/>
        <v>7.892779</v>
      </c>
      <c r="EP24">
        <v>74.054734089485507</v>
      </c>
      <c r="EQ24">
        <v>1.4363980931045299E-3</v>
      </c>
      <c r="ER24">
        <v>3.0837733297494202E-3</v>
      </c>
      <c r="ES24" s="31">
        <f t="shared" si="18"/>
        <v>109.18520789343314</v>
      </c>
      <c r="ET24" s="31">
        <f t="shared" si="19"/>
        <v>8085.6815370533859</v>
      </c>
      <c r="EU24" s="31">
        <f t="shared" si="20"/>
        <v>0.15683342441334905</v>
      </c>
      <c r="EV24" s="31">
        <f t="shared" si="21"/>
        <v>0.33670243210491502</v>
      </c>
      <c r="EW24" s="655">
        <f t="shared" si="22"/>
        <v>8179.2990174447623</v>
      </c>
      <c r="EX24">
        <v>2.72</v>
      </c>
      <c r="EY24">
        <f t="shared" si="23"/>
        <v>7984507.7421733616</v>
      </c>
      <c r="EZ24" s="419">
        <f t="shared" si="68"/>
        <v>7984.5077421733613</v>
      </c>
      <c r="FA24">
        <v>801.2</v>
      </c>
      <c r="FB24" s="419">
        <f t="shared" si="24"/>
        <v>11083.44583881275</v>
      </c>
      <c r="FE24" s="655">
        <f>SUM(FE21:FE23)</f>
        <v>283218.90292710607</v>
      </c>
      <c r="FF24" s="655">
        <f t="shared" ref="FF24" si="189">SUM(FF21:FF23)</f>
        <v>285573.40958240046</v>
      </c>
      <c r="FG24" s="655">
        <f>SUM(FG21:FG23)</f>
        <v>251148.29988018738</v>
      </c>
      <c r="FJ24" s="637" t="s">
        <v>335</v>
      </c>
      <c r="FK24" s="631">
        <v>6597</v>
      </c>
      <c r="FL24" s="631">
        <v>1949</v>
      </c>
      <c r="FM24" s="630">
        <v>0.3</v>
      </c>
      <c r="FN24" s="629">
        <v>33.68</v>
      </c>
      <c r="FO24" s="638">
        <v>12293</v>
      </c>
      <c r="FQ24" s="121">
        <f t="shared" si="178"/>
        <v>2.4468223207165775E-2</v>
      </c>
      <c r="FR24" s="121">
        <f t="shared" si="178"/>
        <v>7.2288262893385009E-3</v>
      </c>
      <c r="FT24" s="31">
        <f t="shared" si="112"/>
        <v>81.096920999999995</v>
      </c>
      <c r="FU24" s="121">
        <f t="shared" si="5"/>
        <v>1.9460266621831587E-2</v>
      </c>
      <c r="FX24" t="s">
        <v>302</v>
      </c>
      <c r="FY24" s="147">
        <f>FU18</f>
        <v>1.7159932342180346E-2</v>
      </c>
      <c r="FZ24" s="31">
        <f t="shared" si="25"/>
        <v>17.113673500517361</v>
      </c>
      <c r="GA24">
        <v>21.22</v>
      </c>
      <c r="GB24">
        <f t="shared" si="129"/>
        <v>0.2122</v>
      </c>
      <c r="GC24">
        <v>0.86499999999999999</v>
      </c>
      <c r="GD24">
        <f t="shared" si="130"/>
        <v>0.18355299999999999</v>
      </c>
      <c r="GE24">
        <v>43</v>
      </c>
      <c r="GF24">
        <f t="shared" si="131"/>
        <v>7.892779</v>
      </c>
      <c r="GG24">
        <v>73.367479939063315</v>
      </c>
      <c r="GH24">
        <f>2.07749454663654/1000</f>
        <v>2.0774945466365403E-3</v>
      </c>
      <c r="GI24">
        <f>2.35970659533889/1000</f>
        <v>2.3597065953388898E-3</v>
      </c>
      <c r="GJ24" s="31">
        <f t="shared" si="26"/>
        <v>135.07444281773991</v>
      </c>
      <c r="GK24" s="31">
        <f t="shared" si="27"/>
        <v>9910.0714737106882</v>
      </c>
      <c r="GL24" s="31">
        <f t="shared" si="28"/>
        <v>0.28061641834382384</v>
      </c>
      <c r="GM24" s="31">
        <f t="shared" si="29"/>
        <v>0.31873605357874657</v>
      </c>
      <c r="GN24" s="655">
        <f t="shared" si="72"/>
        <v>10002.393787622683</v>
      </c>
      <c r="GO24">
        <v>2.72</v>
      </c>
      <c r="GP24">
        <f t="shared" si="30"/>
        <v>9877738.5257226136</v>
      </c>
      <c r="GQ24" s="419">
        <f t="shared" si="132"/>
        <v>9877.7385257226142</v>
      </c>
      <c r="GR24">
        <v>801.2</v>
      </c>
      <c r="GS24" s="419">
        <f t="shared" si="31"/>
        <v>13711.475208614513</v>
      </c>
      <c r="GV24" s="655">
        <f>SUM(GV21:GV23)</f>
        <v>260826.86854293308</v>
      </c>
      <c r="GW24" s="655">
        <f t="shared" ref="GW24:GX24" si="190">SUM(GW21:GW23)</f>
        <v>260918.4592227324</v>
      </c>
      <c r="GX24" s="655">
        <f t="shared" si="190"/>
        <v>232239.47392490739</v>
      </c>
      <c r="GZ24" s="133" t="s">
        <v>294</v>
      </c>
      <c r="HA24" s="156">
        <v>1386</v>
      </c>
      <c r="HB24" s="134">
        <v>759</v>
      </c>
      <c r="HC24" s="135">
        <v>0.55000000000000004</v>
      </c>
      <c r="HD24" s="134">
        <v>70.17</v>
      </c>
      <c r="HE24" s="136">
        <v>25613</v>
      </c>
      <c r="HF24" s="121">
        <f t="shared" si="180"/>
        <v>4.4029352901934623E-3</v>
      </c>
      <c r="HG24" s="121">
        <f>(HA24-HA17-HA10)/HA24</f>
        <v>-8.658008658008658E-3</v>
      </c>
      <c r="HH24" s="121">
        <f t="shared" ref="HH24:HH26" si="191">(HB24-HB17-HB10)/HB24</f>
        <v>0</v>
      </c>
      <c r="HJ24" s="31">
        <f t="shared" ref="HJ24:HJ25" si="192">HE24*(HA24-HA17-HA10)/1000000</f>
        <v>-0.30735600000000002</v>
      </c>
      <c r="HK24" s="121">
        <f t="shared" si="7"/>
        <v>-7.2357735037402525E-5</v>
      </c>
      <c r="HN24" t="s">
        <v>302</v>
      </c>
      <c r="HO24" s="147">
        <f>HK18</f>
        <v>1.9369703963901069E-2</v>
      </c>
      <c r="HP24" s="31">
        <f t="shared" si="32"/>
        <v>21.513409762656384</v>
      </c>
      <c r="HQ24">
        <v>21.22</v>
      </c>
      <c r="HR24">
        <f t="shared" si="133"/>
        <v>0.2122</v>
      </c>
      <c r="HS24">
        <v>0.86499999999999999</v>
      </c>
      <c r="HT24">
        <f t="shared" si="134"/>
        <v>0.18355299999999999</v>
      </c>
      <c r="HU24">
        <v>43</v>
      </c>
      <c r="HV24">
        <f t="shared" si="135"/>
        <v>7.892779</v>
      </c>
      <c r="HW24">
        <v>73.367479939063315</v>
      </c>
      <c r="HX24">
        <f>2.07749454663654/1000</f>
        <v>2.0774945466365403E-3</v>
      </c>
      <c r="HY24">
        <f>2.35970659533889/1000</f>
        <v>2.3597065953388898E-3</v>
      </c>
      <c r="HZ24" s="31">
        <f t="shared" si="33"/>
        <v>169.80058879308928</v>
      </c>
      <c r="IA24" s="31">
        <f t="shared" si="77"/>
        <v>12457.841291918117</v>
      </c>
      <c r="IB24" s="31">
        <f t="shared" si="34"/>
        <v>0.35275979723331663</v>
      </c>
      <c r="IC24" s="31">
        <f t="shared" si="34"/>
        <v>0.40067956926747955</v>
      </c>
      <c r="ID24" s="655">
        <f t="shared" si="35"/>
        <v>12573.898652096532</v>
      </c>
      <c r="IE24">
        <v>2.72</v>
      </c>
      <c r="IF24">
        <f t="shared" si="36"/>
        <v>12417195.900449062</v>
      </c>
      <c r="IG24" s="419">
        <f t="shared" si="136"/>
        <v>12417.195900449062</v>
      </c>
      <c r="IH24">
        <v>801.2</v>
      </c>
      <c r="II24" s="419">
        <f t="shared" si="37"/>
        <v>17236.543901840298</v>
      </c>
      <c r="IL24" s="655">
        <f>SUM(IL21:IL23)</f>
        <v>292951.79011282284</v>
      </c>
      <c r="IM24" s="655">
        <f t="shared" ref="IM24" si="193">SUM(IM21:IM23)</f>
        <v>287299.66889735981</v>
      </c>
      <c r="IN24" s="655">
        <f t="shared" ref="IN24" si="194">SUM(IN21:IN23)</f>
        <v>256994.88302121608</v>
      </c>
      <c r="IP24" s="637" t="s">
        <v>294</v>
      </c>
      <c r="IQ24" s="631">
        <v>1448</v>
      </c>
      <c r="IR24" s="629">
        <v>775</v>
      </c>
      <c r="IS24" s="630">
        <v>0.54</v>
      </c>
      <c r="IT24" s="629">
        <v>72.069999999999993</v>
      </c>
      <c r="IU24" s="638">
        <v>26304</v>
      </c>
      <c r="IV24" s="121">
        <f t="shared" si="182"/>
        <v>4.5998919914863878E-3</v>
      </c>
      <c r="IW24" s="121">
        <f>(IQ24-IQ17-IQ10)/IQ24</f>
        <v>2.7624309392265192E-3</v>
      </c>
      <c r="IX24" s="121">
        <f t="shared" ref="IX24:IX26" si="195">(IR24-IR17-IR10)/IR24</f>
        <v>0</v>
      </c>
      <c r="IZ24" s="31">
        <f t="shared" ref="IZ24:IZ25" si="196">IU24*(IQ24-IQ17-IQ10)/1000000</f>
        <v>0.105216</v>
      </c>
      <c r="JA24" s="121">
        <f t="shared" si="9"/>
        <v>2.4769945762227983E-5</v>
      </c>
      <c r="JD24" t="s">
        <v>302</v>
      </c>
      <c r="JE24" s="147">
        <f>JA18</f>
        <v>1.8995180717202916E-2</v>
      </c>
      <c r="JF24" s="31">
        <f t="shared" si="38"/>
        <v>20.866091884530832</v>
      </c>
      <c r="JG24">
        <v>21.22</v>
      </c>
      <c r="JH24">
        <f t="shared" si="137"/>
        <v>0.2122</v>
      </c>
      <c r="JI24">
        <v>0.86499999999999999</v>
      </c>
      <c r="JJ24">
        <f t="shared" si="138"/>
        <v>0.18355299999999999</v>
      </c>
      <c r="JK24">
        <v>43</v>
      </c>
      <c r="JL24">
        <f t="shared" si="139"/>
        <v>7.892779</v>
      </c>
      <c r="JM24">
        <v>73.367479939063315</v>
      </c>
      <c r="JN24">
        <f>2.07749454663654/1000</f>
        <v>2.0774945466365403E-3</v>
      </c>
      <c r="JO24">
        <f>2.35970659533889/1000</f>
        <v>2.3597065953388898E-3</v>
      </c>
      <c r="JP24" s="31">
        <f t="shared" si="39"/>
        <v>164.69145183829536</v>
      </c>
      <c r="JQ24" s="31">
        <f t="shared" si="82"/>
        <v>12082.996788881348</v>
      </c>
      <c r="JR24" s="31">
        <f t="shared" si="40"/>
        <v>0.34214559307171305</v>
      </c>
      <c r="JS24" s="31">
        <f t="shared" si="40"/>
        <v>0.3886235050987627</v>
      </c>
      <c r="JT24" s="655">
        <f t="shared" si="41"/>
        <v>12195.562094338527</v>
      </c>
      <c r="JU24">
        <v>2.72</v>
      </c>
      <c r="JV24">
        <f t="shared" si="42"/>
        <v>12043574.378281044</v>
      </c>
      <c r="JW24" s="419">
        <f t="shared" si="140"/>
        <v>12043.574378281044</v>
      </c>
      <c r="JX24">
        <v>801.2</v>
      </c>
      <c r="JY24" s="419">
        <f t="shared" si="43"/>
        <v>16717.912817886103</v>
      </c>
      <c r="KB24" s="655">
        <f>SUM(KB21:KB23)</f>
        <v>283647.64010407473</v>
      </c>
      <c r="KC24" s="655">
        <f t="shared" ref="KC24" si="197">SUM(KC21:KC23)</f>
        <v>281470.10098973458</v>
      </c>
      <c r="KD24" s="655">
        <f t="shared" ref="KD24" si="198">SUM(KD21:KD23)</f>
        <v>252332.40451105789</v>
      </c>
      <c r="KG24" s="655">
        <f>SUM(KG21:KG23)</f>
        <v>275910.42505486868</v>
      </c>
      <c r="KH24" s="655">
        <f t="shared" ref="KH24" si="199">SUM(KH21:KH23)</f>
        <v>273792.28389074421</v>
      </c>
      <c r="KI24" s="655">
        <f t="shared" ref="KI24" si="200">SUM(KI21:KI23)</f>
        <v>245449.39262747951</v>
      </c>
      <c r="KL24" s="655">
        <f>SUM(KL21:KL23)</f>
        <v>255466.16046931245</v>
      </c>
      <c r="KM24" s="655">
        <f t="shared" ref="KM24" si="201">SUM(KM21:KM23)</f>
        <v>253504.96820764546</v>
      </c>
      <c r="KN24" s="655">
        <f t="shared" ref="KN24" si="202">SUM(KN21:KN23)</f>
        <v>227262.21349409828</v>
      </c>
    </row>
    <row r="25" spans="1:300" ht="16.5" customHeight="1" thickBot="1" x14ac:dyDescent="0.8">
      <c r="A25" s="1161"/>
      <c r="B25" s="341" t="s">
        <v>299</v>
      </c>
      <c r="C25" s="342">
        <v>40907</v>
      </c>
      <c r="D25" s="343">
        <v>40671</v>
      </c>
      <c r="E25" s="344">
        <v>37501</v>
      </c>
      <c r="F25" s="345">
        <v>119079</v>
      </c>
      <c r="G25" s="382">
        <v>230187</v>
      </c>
      <c r="H25" s="1176"/>
      <c r="I25" s="362">
        <v>2.7659146862282068E-2</v>
      </c>
      <c r="J25" s="363">
        <v>6.4039269095448867E-2</v>
      </c>
      <c r="K25" s="364">
        <v>6.2061931004768756E-2</v>
      </c>
      <c r="L25" s="365">
        <v>6.2061931004768756E-2</v>
      </c>
      <c r="M25" s="510">
        <v>6.2343124549252948E-2</v>
      </c>
      <c r="O25" s="206">
        <v>2019</v>
      </c>
      <c r="P25" s="160">
        <f>M205</f>
        <v>1.1087125087072547E-2</v>
      </c>
      <c r="Q25" s="95">
        <f t="shared" si="157"/>
        <v>5.6256377830709896</v>
      </c>
      <c r="R25" s="656">
        <f t="shared" si="122"/>
        <v>1334.6825640335924</v>
      </c>
      <c r="S25" s="93">
        <f t="shared" si="123"/>
        <v>35.160236144193682</v>
      </c>
      <c r="T25" s="93">
        <f t="shared" si="141"/>
        <v>1812.383306401736</v>
      </c>
      <c r="U25" s="656">
        <f t="shared" si="142"/>
        <v>1178.0491491611285</v>
      </c>
      <c r="V25">
        <f>1155600+96100+48200</f>
        <v>1299900</v>
      </c>
      <c r="W25">
        <f>V25/10^6*$W$16</f>
        <v>6.4605030000000001</v>
      </c>
      <c r="X25" s="419">
        <f>W25/$S$16/$T$16*$U$16</f>
        <v>1352.8759503865979</v>
      </c>
      <c r="Y25" s="25">
        <f>938000+85000+43000</f>
        <v>1066000</v>
      </c>
      <c r="Z25">
        <f t="shared" si="126"/>
        <v>5.4245329999999994</v>
      </c>
      <c r="AA25" s="25">
        <f t="shared" si="127"/>
        <v>1708.7278949999998</v>
      </c>
      <c r="AB25" s="419">
        <f t="shared" si="128"/>
        <v>1110.6731317499998</v>
      </c>
      <c r="AC25" s="419"/>
      <c r="AD25" s="419"/>
      <c r="AE25" s="419"/>
      <c r="AF25" s="419"/>
      <c r="AG25" s="795" t="s">
        <v>336</v>
      </c>
      <c r="AH25" s="793">
        <v>21450</v>
      </c>
      <c r="AI25" s="793">
        <v>5960</v>
      </c>
      <c r="AJ25" s="794">
        <v>0.28000000000000003</v>
      </c>
      <c r="AK25" s="795">
        <v>42.47</v>
      </c>
      <c r="AL25" s="802">
        <v>15502</v>
      </c>
      <c r="AM25" s="419"/>
      <c r="AN25" s="902">
        <f t="shared" si="174"/>
        <v>7.9557888099697716E-2</v>
      </c>
      <c r="AO25" s="902">
        <f t="shared" si="174"/>
        <v>2.2105595015114145E-2</v>
      </c>
      <c r="AP25">
        <f t="shared" si="11"/>
        <v>332.5179</v>
      </c>
      <c r="AR25" s="121">
        <f t="shared" si="12"/>
        <v>6.6911955386699612E-2</v>
      </c>
      <c r="AS25" s="419"/>
      <c r="AT25" t="str">
        <f>AG20</f>
        <v>Vörubifreiðar ≤12t</v>
      </c>
      <c r="AU25" t="s">
        <v>302</v>
      </c>
      <c r="AV25" s="147">
        <f>AR18</f>
        <v>1.7801604309944666E-2</v>
      </c>
      <c r="AW25" s="31">
        <f t="shared" si="44"/>
        <v>25.126163279210342</v>
      </c>
      <c r="AX25">
        <v>21.22</v>
      </c>
      <c r="AY25">
        <f t="shared" si="45"/>
        <v>0.2122</v>
      </c>
      <c r="AZ25">
        <v>0.86499999999999999</v>
      </c>
      <c r="BA25">
        <f t="shared" si="46"/>
        <v>0.18355299999999999</v>
      </c>
      <c r="BB25">
        <v>43</v>
      </c>
      <c r="BC25">
        <f t="shared" si="47"/>
        <v>7.892779</v>
      </c>
      <c r="BD25">
        <v>73.510933419406996</v>
      </c>
      <c r="BE25">
        <v>4.2902402724440002E-5</v>
      </c>
      <c r="BF25">
        <v>1.9977997001881498E-3</v>
      </c>
      <c r="BG25" s="31">
        <f t="shared" si="48"/>
        <v>198.31525388072254</v>
      </c>
      <c r="BH25" s="31">
        <f t="shared" si="89"/>
        <v>14578.339424078589</v>
      </c>
      <c r="BI25" s="31">
        <f t="shared" si="49"/>
        <v>8.5082008883903219E-3</v>
      </c>
      <c r="BJ25" s="31">
        <f t="shared" si="17"/>
        <v>0.39619415474564429</v>
      </c>
      <c r="BK25" s="655">
        <f t="shared" si="109"/>
        <v>14683.569104711059</v>
      </c>
      <c r="BL25">
        <v>2.72</v>
      </c>
      <c r="BM25">
        <f t="shared" si="84"/>
        <v>14502419.426147742</v>
      </c>
      <c r="BN25" s="419">
        <f t="shared" si="50"/>
        <v>14502.419426147742</v>
      </c>
      <c r="BO25">
        <v>801.2</v>
      </c>
      <c r="BP25" s="419">
        <f t="shared" si="51"/>
        <v>20131.082019303329</v>
      </c>
      <c r="BQ25" s="419"/>
      <c r="BR25" s="419"/>
      <c r="BZ25" s="419"/>
      <c r="CB25" s="795" t="s">
        <v>336</v>
      </c>
      <c r="CC25" s="793">
        <v>19260</v>
      </c>
      <c r="CD25" s="793">
        <v>4365</v>
      </c>
      <c r="CE25" s="794">
        <v>0.23</v>
      </c>
      <c r="CF25" s="795">
        <v>42.37</v>
      </c>
      <c r="CG25" s="802">
        <v>15466</v>
      </c>
      <c r="CI25" s="121">
        <f t="shared" si="175"/>
        <v>7.1435194629378931E-2</v>
      </c>
      <c r="CJ25" s="121">
        <f t="shared" si="175"/>
        <v>1.6189752053854572E-2</v>
      </c>
      <c r="CL25" s="31">
        <f t="shared" si="187"/>
        <v>297.87515999999999</v>
      </c>
      <c r="CM25" s="121">
        <f t="shared" si="1"/>
        <v>6.062514316659301E-2</v>
      </c>
      <c r="CO25" t="str">
        <f>CB20</f>
        <v>Vörubifreiðar ≤12t</v>
      </c>
      <c r="CP25" t="s">
        <v>264</v>
      </c>
      <c r="CQ25" s="147">
        <f>CM13</f>
        <v>6.7362674509948187E-4</v>
      </c>
      <c r="CR25" s="31">
        <f t="shared" si="52"/>
        <v>0.90898071941326886</v>
      </c>
      <c r="CS25">
        <v>25</v>
      </c>
      <c r="CT25">
        <f t="shared" si="53"/>
        <v>0.25</v>
      </c>
      <c r="CU25">
        <v>0.75</v>
      </c>
      <c r="CV25">
        <f t="shared" si="54"/>
        <v>0.1875</v>
      </c>
      <c r="CW25">
        <v>44.3</v>
      </c>
      <c r="CX25">
        <f t="shared" si="55"/>
        <v>8.3062499999999986</v>
      </c>
      <c r="CY25">
        <v>71.051977446800905</v>
      </c>
      <c r="CZ25">
        <v>6.0214126798913805E-3</v>
      </c>
      <c r="DA25">
        <v>1.2119593011540399E-3</v>
      </c>
      <c r="DB25" s="31">
        <f t="shared" si="56"/>
        <v>7.5502211006264632</v>
      </c>
      <c r="DC25" s="31">
        <f t="shared" si="57"/>
        <v>536.45813936007175</v>
      </c>
      <c r="DD25" s="31">
        <f t="shared" si="58"/>
        <v>4.5462997071295641E-2</v>
      </c>
      <c r="DE25" s="31">
        <f t="shared" si="59"/>
        <v>9.1505606886737346E-3</v>
      </c>
      <c r="DF25" s="655">
        <f t="shared" si="60"/>
        <v>540.15600186056656</v>
      </c>
      <c r="DG25">
        <v>2.34</v>
      </c>
      <c r="DH25">
        <f t="shared" si="61"/>
        <v>531753.72085676226</v>
      </c>
      <c r="DI25" s="419">
        <f t="shared" si="62"/>
        <v>531.75372085676224</v>
      </c>
      <c r="DJ25">
        <v>512.9</v>
      </c>
      <c r="DK25" s="419">
        <f t="shared" si="63"/>
        <v>466.21621098706555</v>
      </c>
      <c r="DM25"/>
      <c r="DN25"/>
      <c r="DO25"/>
      <c r="DP25"/>
      <c r="DS25" s="732" t="s">
        <v>336</v>
      </c>
      <c r="DT25" s="733">
        <v>14364</v>
      </c>
      <c r="DU25" s="733">
        <v>2877</v>
      </c>
      <c r="DV25" s="734">
        <v>0.2</v>
      </c>
      <c r="DW25" s="732">
        <v>40.9</v>
      </c>
      <c r="DX25" s="733">
        <v>14930</v>
      </c>
      <c r="DZ25" s="121">
        <f t="shared" si="176"/>
        <v>5.327596758340597E-2</v>
      </c>
      <c r="EA25" s="121">
        <f t="shared" si="176"/>
        <v>1.0670771284980436E-2</v>
      </c>
      <c r="EC25" s="31">
        <f>DX25*DT25/1000000</f>
        <v>214.45452</v>
      </c>
      <c r="ED25" s="121">
        <f t="shared" si="3"/>
        <v>5.1461166293316048E-2</v>
      </c>
      <c r="EF25" t="str">
        <f>DS20</f>
        <v>Vörubifreiðar ≤12t</v>
      </c>
      <c r="EG25" t="s">
        <v>264</v>
      </c>
      <c r="EH25" s="147">
        <f>ED13</f>
        <v>1.0555793343766269E-3</v>
      </c>
      <c r="EI25" s="31">
        <f t="shared" si="64"/>
        <v>1.151331770738196</v>
      </c>
      <c r="EJ25">
        <v>25</v>
      </c>
      <c r="EK25">
        <f t="shared" si="65"/>
        <v>0.25</v>
      </c>
      <c r="EL25">
        <v>0.75</v>
      </c>
      <c r="EM25">
        <f t="shared" si="66"/>
        <v>0.1875</v>
      </c>
      <c r="EN25">
        <v>44.3</v>
      </c>
      <c r="EO25">
        <f t="shared" si="67"/>
        <v>8.3062499999999986</v>
      </c>
      <c r="EP25">
        <v>71.051977446800905</v>
      </c>
      <c r="EQ25">
        <v>6.0214126798913805E-3</v>
      </c>
      <c r="ER25">
        <v>1.2119593011540399E-3</v>
      </c>
      <c r="ES25" s="31">
        <f t="shared" si="18"/>
        <v>9.5632495206941392</v>
      </c>
      <c r="ET25" s="31">
        <f t="shared" si="19"/>
        <v>679.48778926248951</v>
      </c>
      <c r="EU25" s="31">
        <f t="shared" si="20"/>
        <v>5.7584271924872858E-2</v>
      </c>
      <c r="EV25" s="31">
        <f t="shared" si="21"/>
        <v>1.1590269205862177E-2</v>
      </c>
      <c r="EW25" s="655">
        <f t="shared" si="22"/>
        <v>684.17157021593937</v>
      </c>
      <c r="EX25">
        <v>2.34</v>
      </c>
      <c r="EY25">
        <f t="shared" si="23"/>
        <v>673529.08588184463</v>
      </c>
      <c r="EZ25" s="419">
        <f t="shared" si="68"/>
        <v>673.52908588184459</v>
      </c>
      <c r="FA25">
        <v>512.9</v>
      </c>
      <c r="FB25" s="419">
        <f t="shared" si="24"/>
        <v>590.51806521162064</v>
      </c>
      <c r="FJ25" s="635" t="s">
        <v>336</v>
      </c>
      <c r="FK25" s="626">
        <v>9658</v>
      </c>
      <c r="FL25" s="626">
        <v>1395</v>
      </c>
      <c r="FM25" s="627">
        <v>0.14000000000000001</v>
      </c>
      <c r="FN25" s="628">
        <v>45.12</v>
      </c>
      <c r="FO25" s="636">
        <v>16468</v>
      </c>
      <c r="FQ25" s="121">
        <f t="shared" si="178"/>
        <v>3.5821449103351076E-2</v>
      </c>
      <c r="FR25" s="121">
        <f t="shared" si="178"/>
        <v>5.1740444708195015E-3</v>
      </c>
      <c r="FT25" s="31">
        <f t="shared" si="112"/>
        <v>159.047944</v>
      </c>
      <c r="FU25" s="121">
        <f t="shared" si="5"/>
        <v>3.8165633882624714E-2</v>
      </c>
      <c r="FW25" t="str">
        <f>FJ20</f>
        <v>Vörubifreiðar ≤12t</v>
      </c>
      <c r="FX25" t="s">
        <v>264</v>
      </c>
      <c r="FY25" s="147">
        <f>FU13</f>
        <v>9.1998387891580686E-4</v>
      </c>
      <c r="FZ25" s="31">
        <f t="shared" si="25"/>
        <v>0.91750383483762266</v>
      </c>
      <c r="GA25">
        <v>25</v>
      </c>
      <c r="GB25">
        <f t="shared" si="129"/>
        <v>0.25</v>
      </c>
      <c r="GC25">
        <v>0.75</v>
      </c>
      <c r="GD25">
        <f t="shared" si="130"/>
        <v>0.1875</v>
      </c>
      <c r="GE25">
        <v>44.3</v>
      </c>
      <c r="GF25">
        <f t="shared" si="131"/>
        <v>8.3062499999999986</v>
      </c>
      <c r="GG25">
        <v>72.513754762763227</v>
      </c>
      <c r="GH25">
        <f>6.43681969225972/1000</f>
        <v>6.4368196922597199E-3</v>
      </c>
      <c r="GI25">
        <f>1.22219082236233/1000</f>
        <v>1.2221908223623299E-3</v>
      </c>
      <c r="GJ25" s="31">
        <f t="shared" si="26"/>
        <v>7.621016228120002</v>
      </c>
      <c r="GK25" s="31">
        <f t="shared" si="27"/>
        <v>552.6285018089327</v>
      </c>
      <c r="GL25" s="31">
        <f t="shared" si="28"/>
        <v>4.9055107332193724E-2</v>
      </c>
      <c r="GM25" s="31">
        <f t="shared" si="29"/>
        <v>9.3143360910826461E-3</v>
      </c>
      <c r="GN25" s="655">
        <f t="shared" si="72"/>
        <v>556.47034387837095</v>
      </c>
      <c r="GO25">
        <v>2.34</v>
      </c>
      <c r="GP25">
        <f t="shared" si="30"/>
        <v>536739.7433800092</v>
      </c>
      <c r="GQ25" s="419">
        <f t="shared" si="132"/>
        <v>536.73974338000914</v>
      </c>
      <c r="GR25">
        <v>512.9</v>
      </c>
      <c r="GS25" s="419">
        <f t="shared" si="31"/>
        <v>470.58771688821662</v>
      </c>
      <c r="GZ25" s="116" t="s">
        <v>297</v>
      </c>
      <c r="HA25" s="117">
        <v>1792</v>
      </c>
      <c r="HB25" s="119">
        <v>988</v>
      </c>
      <c r="HC25" s="118">
        <v>0.55000000000000004</v>
      </c>
      <c r="HD25" s="119">
        <v>127.43</v>
      </c>
      <c r="HE25" s="120">
        <v>46511</v>
      </c>
      <c r="HF25" s="121">
        <f t="shared" si="180"/>
        <v>5.6926840115632642E-3</v>
      </c>
      <c r="HG25" s="121">
        <f>(HA25-HA18-HA11)/HA25</f>
        <v>1.171875E-2</v>
      </c>
      <c r="HH25" s="121">
        <f t="shared" si="191"/>
        <v>1.0121457489878543E-3</v>
      </c>
      <c r="HJ25" s="31">
        <f t="shared" si="192"/>
        <v>0.97673100000000002</v>
      </c>
      <c r="HK25" s="121">
        <f t="shared" si="7"/>
        <v>2.2994196599649007E-4</v>
      </c>
      <c r="HM25" t="str">
        <f>GZ20</f>
        <v>Vörubifreiðar ≤12t</v>
      </c>
      <c r="HN25" t="s">
        <v>264</v>
      </c>
      <c r="HO25" s="147">
        <f>HK13</f>
        <v>1.1990726857023404E-3</v>
      </c>
      <c r="HP25" s="31">
        <f t="shared" si="32"/>
        <v>1.3317778150249016</v>
      </c>
      <c r="HQ25">
        <v>25</v>
      </c>
      <c r="HR25">
        <f t="shared" si="133"/>
        <v>0.25</v>
      </c>
      <c r="HS25">
        <v>0.75</v>
      </c>
      <c r="HT25">
        <f t="shared" si="134"/>
        <v>0.1875</v>
      </c>
      <c r="HU25">
        <v>44.3</v>
      </c>
      <c r="HV25">
        <f t="shared" si="135"/>
        <v>8.3062499999999986</v>
      </c>
      <c r="HW25">
        <v>72.513754762763227</v>
      </c>
      <c r="HX25">
        <f>6.43681969225972/1000</f>
        <v>6.4368196922597199E-3</v>
      </c>
      <c r="HY25">
        <f>1.22219082236233/1000</f>
        <v>1.2221908223623299E-3</v>
      </c>
      <c r="HZ25" s="31">
        <f t="shared" si="33"/>
        <v>11.062079476050586</v>
      </c>
      <c r="IA25" s="31">
        <f t="shared" si="77"/>
        <v>802.15291829252851</v>
      </c>
      <c r="IB25" s="31">
        <f t="shared" si="34"/>
        <v>7.1204611008784502E-2</v>
      </c>
      <c r="IC25" s="31">
        <f t="shared" si="34"/>
        <v>1.3519972011871717E-2</v>
      </c>
      <c r="ID25" s="655">
        <f t="shared" si="35"/>
        <v>807.72943998392043</v>
      </c>
      <c r="IE25">
        <v>2.34</v>
      </c>
      <c r="IF25">
        <f t="shared" si="36"/>
        <v>779090.02178956731</v>
      </c>
      <c r="IG25" s="419">
        <f t="shared" si="136"/>
        <v>779.09002178956734</v>
      </c>
      <c r="IH25">
        <v>512.9</v>
      </c>
      <c r="II25" s="419">
        <f t="shared" si="37"/>
        <v>683.06884132627192</v>
      </c>
      <c r="IK25" s="31"/>
      <c r="IL25" s="31"/>
      <c r="IM25" s="31"/>
      <c r="IN25" s="31"/>
      <c r="IP25" s="635" t="s">
        <v>297</v>
      </c>
      <c r="IQ25" s="626">
        <v>1750</v>
      </c>
      <c r="IR25" s="628">
        <v>951</v>
      </c>
      <c r="IS25" s="627">
        <v>0.54</v>
      </c>
      <c r="IT25" s="628">
        <v>128.04</v>
      </c>
      <c r="IU25" s="636">
        <v>46734</v>
      </c>
      <c r="IV25" s="121">
        <f t="shared" si="182"/>
        <v>5.55926173004225E-3</v>
      </c>
      <c r="IW25" s="121">
        <f>(IQ25-IQ18-IQ11)/IQ25</f>
        <v>1.2E-2</v>
      </c>
      <c r="IX25" s="121">
        <f t="shared" si="195"/>
        <v>1.0515247108307045E-3</v>
      </c>
      <c r="IZ25" s="31">
        <f t="shared" si="196"/>
        <v>0.98141400000000001</v>
      </c>
      <c r="JA25" s="121">
        <f t="shared" si="9"/>
        <v>2.3104443763582739E-4</v>
      </c>
      <c r="JC25" t="str">
        <f>IP20</f>
        <v>Vörubifreiðar ≤12t</v>
      </c>
      <c r="JD25" t="s">
        <v>264</v>
      </c>
      <c r="JE25" s="147">
        <f>JA13</f>
        <v>9.2119592142013082E-4</v>
      </c>
      <c r="JF25" s="31">
        <f t="shared" si="38"/>
        <v>1.0119281846368209</v>
      </c>
      <c r="JG25">
        <v>25</v>
      </c>
      <c r="JH25">
        <f t="shared" si="137"/>
        <v>0.25</v>
      </c>
      <c r="JI25">
        <v>0.75</v>
      </c>
      <c r="JJ25">
        <f t="shared" si="138"/>
        <v>0.1875</v>
      </c>
      <c r="JK25">
        <v>44.3</v>
      </c>
      <c r="JL25">
        <f t="shared" si="139"/>
        <v>8.3062499999999986</v>
      </c>
      <c r="JM25">
        <v>72.513754762763227</v>
      </c>
      <c r="JN25">
        <f>6.43681969225972/1000</f>
        <v>6.4368196922597199E-3</v>
      </c>
      <c r="JO25">
        <f>1.22219082236233/1000</f>
        <v>1.2221908223623299E-3</v>
      </c>
      <c r="JP25" s="31">
        <f t="shared" si="39"/>
        <v>8.4053284836395914</v>
      </c>
      <c r="JQ25" s="31">
        <f t="shared" si="82"/>
        <v>609.50192836310987</v>
      </c>
      <c r="JR25" s="31">
        <f t="shared" si="40"/>
        <v>5.4103583903402856E-2</v>
      </c>
      <c r="JS25" s="31">
        <f t="shared" si="40"/>
        <v>1.0272915331644988E-2</v>
      </c>
      <c r="JT25" s="655">
        <f t="shared" si="41"/>
        <v>613.73915127529108</v>
      </c>
      <c r="JU25">
        <v>2.34</v>
      </c>
      <c r="JV25">
        <f t="shared" si="42"/>
        <v>591977.98801254015</v>
      </c>
      <c r="JW25" s="419">
        <f t="shared" si="140"/>
        <v>591.97798801254021</v>
      </c>
      <c r="JX25">
        <v>512.9</v>
      </c>
      <c r="JY25" s="419">
        <f t="shared" si="43"/>
        <v>519.01796590022536</v>
      </c>
    </row>
    <row r="26" spans="1:300" ht="16.5" customHeight="1" thickBot="1" x14ac:dyDescent="0.8">
      <c r="A26" s="1161"/>
      <c r="B26" s="341" t="s">
        <v>303</v>
      </c>
      <c r="C26" s="342">
        <v>42550</v>
      </c>
      <c r="D26" s="343">
        <v>41844</v>
      </c>
      <c r="E26" s="344">
        <v>39087</v>
      </c>
      <c r="F26" s="345">
        <v>123481</v>
      </c>
      <c r="G26" s="382">
        <v>353668</v>
      </c>
      <c r="H26" s="1176"/>
      <c r="I26" s="362">
        <v>8.2311644706720255E-2</v>
      </c>
      <c r="J26" s="363">
        <v>8.1184996680681562E-2</v>
      </c>
      <c r="K26" s="364">
        <v>8.8449213399812709E-2</v>
      </c>
      <c r="L26" s="365">
        <v>8.8449213399812709E-2</v>
      </c>
      <c r="M26" s="510">
        <v>7.1314415927035579E-2</v>
      </c>
      <c r="O26" s="206">
        <v>2020</v>
      </c>
      <c r="P26" s="160">
        <f>M218</f>
        <v>-0.10207222614065981</v>
      </c>
      <c r="Q26" s="95">
        <f t="shared" ref="Q26" si="203">Q25*(1+P26)</f>
        <v>5.0514164110919273</v>
      </c>
      <c r="R26" s="656">
        <f t="shared" si="122"/>
        <v>1198.4485435315598</v>
      </c>
      <c r="S26" s="93">
        <f t="shared" si="123"/>
        <v>31.571352569324546</v>
      </c>
      <c r="T26" s="93">
        <f t="shared" ref="T26" si="204">S26/0.0194</f>
        <v>1627.3893076971415</v>
      </c>
      <c r="U26" s="656">
        <f>T26*$U$16</f>
        <v>1057.8030500031421</v>
      </c>
      <c r="V26">
        <f>V25*(1+P26)</f>
        <v>1167216.3132397563</v>
      </c>
      <c r="W26">
        <f>V26/10^6*$W$16</f>
        <v>5.8010650768015877</v>
      </c>
      <c r="X26" s="419">
        <f t="shared" si="144"/>
        <v>1214.7848904384769</v>
      </c>
      <c r="Y26" s="25">
        <f>Y25*(1+P26)</f>
        <v>957191.00693405664</v>
      </c>
      <c r="Z26">
        <f t="shared" si="126"/>
        <v>4.8708388409165275</v>
      </c>
      <c r="AA26" s="25">
        <f t="shared" si="127"/>
        <v>1534.3142348887061</v>
      </c>
      <c r="AB26" s="419">
        <f t="shared" si="128"/>
        <v>997.30425267765895</v>
      </c>
      <c r="AC26" s="419"/>
      <c r="AD26" s="419"/>
      <c r="AE26" s="419"/>
      <c r="AF26" s="419"/>
      <c r="AG26" s="796" t="s">
        <v>337</v>
      </c>
      <c r="AH26" s="798">
        <v>1461</v>
      </c>
      <c r="AI26" s="796">
        <v>123</v>
      </c>
      <c r="AJ26" s="797">
        <v>0.08</v>
      </c>
      <c r="AK26" s="796">
        <v>54.24</v>
      </c>
      <c r="AL26" s="804">
        <v>19798</v>
      </c>
      <c r="AM26" s="419"/>
      <c r="AN26" s="902">
        <f t="shared" si="174"/>
        <v>5.4188379726647258E-3</v>
      </c>
      <c r="AO26" s="902">
        <f t="shared" si="174"/>
        <v>4.5620607162064427E-4</v>
      </c>
      <c r="AP26">
        <f t="shared" si="11"/>
        <v>28.924878</v>
      </c>
      <c r="AR26" s="121">
        <f t="shared" si="12"/>
        <v>5.8204991259169182E-3</v>
      </c>
      <c r="AS26" s="419"/>
      <c r="AU26" t="s">
        <v>264</v>
      </c>
      <c r="AV26" s="147">
        <f>AR13</f>
        <v>5.3301307216330294E-4</v>
      </c>
      <c r="AW26" s="31">
        <f t="shared" si="44"/>
        <v>0.75232396181545635</v>
      </c>
      <c r="AX26">
        <v>25</v>
      </c>
      <c r="AY26">
        <f t="shared" si="45"/>
        <v>0.25</v>
      </c>
      <c r="AZ26">
        <v>0.75</v>
      </c>
      <c r="BA26">
        <f t="shared" si="46"/>
        <v>0.1875</v>
      </c>
      <c r="BB26">
        <v>44.3</v>
      </c>
      <c r="BC26">
        <f t="shared" si="47"/>
        <v>8.3062499999999986</v>
      </c>
      <c r="BD26">
        <v>72.359362764196504</v>
      </c>
      <c r="BE26">
        <v>5.55086147563961E-3</v>
      </c>
      <c r="BF26">
        <v>8.3689723040105996E-4</v>
      </c>
      <c r="BG26" s="31">
        <f t="shared" si="48"/>
        <v>6.2489909078296328</v>
      </c>
      <c r="BH26" s="31">
        <f t="shared" si="89"/>
        <v>452.17300000981004</v>
      </c>
      <c r="BI26" s="31">
        <f t="shared" si="49"/>
        <v>3.4687282891893705E-2</v>
      </c>
      <c r="BJ26" s="31">
        <f t="shared" si="17"/>
        <v>5.2297631835640252E-3</v>
      </c>
      <c r="BK26" s="655">
        <f t="shared" si="109"/>
        <v>454.53013117442754</v>
      </c>
      <c r="BL26">
        <v>2.34</v>
      </c>
      <c r="BM26">
        <f t="shared" si="84"/>
        <v>440109.51766204194</v>
      </c>
      <c r="BN26" s="419">
        <f t="shared" si="50"/>
        <v>440.10951766204192</v>
      </c>
      <c r="BO26">
        <v>512.9</v>
      </c>
      <c r="BP26" s="419">
        <f t="shared" si="51"/>
        <v>385.86696001514753</v>
      </c>
      <c r="BQ26" s="419"/>
      <c r="BR26" s="419"/>
      <c r="BT26" s="123">
        <f>(BT24-DN24)/DN24</f>
        <v>3.6911691668639192E-3</v>
      </c>
      <c r="BU26" s="123">
        <f>(BU24-DO24)/DO24</f>
        <v>5.8385704958352318E-3</v>
      </c>
      <c r="BV26" s="123">
        <f>(BV24-DP24)/DP24</f>
        <v>5.8914811046853009E-3</v>
      </c>
      <c r="BW26" s="123"/>
      <c r="BZ26" s="419"/>
      <c r="CB26" s="796" t="s">
        <v>337</v>
      </c>
      <c r="CC26" s="798">
        <v>1136</v>
      </c>
      <c r="CD26" s="796">
        <v>31</v>
      </c>
      <c r="CE26" s="797">
        <v>0.03</v>
      </c>
      <c r="CF26" s="796" t="s">
        <v>184</v>
      </c>
      <c r="CG26" s="804" t="s">
        <v>184</v>
      </c>
      <c r="CI26" s="121">
        <f t="shared" si="175"/>
        <v>4.2134154256996091E-3</v>
      </c>
      <c r="CJ26" s="121">
        <f t="shared" si="175"/>
        <v>1.1497876601821115E-4</v>
      </c>
      <c r="CL26" s="31">
        <v>0</v>
      </c>
      <c r="CM26" s="121">
        <f t="shared" si="1"/>
        <v>0</v>
      </c>
      <c r="CP26" t="s">
        <v>302</v>
      </c>
      <c r="CQ26" s="147">
        <f>CM20</f>
        <v>1.9694186292439814E-2</v>
      </c>
      <c r="CR26" s="31">
        <f t="shared" si="52"/>
        <v>26.575007234484357</v>
      </c>
      <c r="CS26">
        <v>21.22</v>
      </c>
      <c r="CT26">
        <f t="shared" si="53"/>
        <v>0.2122</v>
      </c>
      <c r="CU26">
        <v>0.86499999999999999</v>
      </c>
      <c r="CV26">
        <f t="shared" si="54"/>
        <v>0.18355299999999999</v>
      </c>
      <c r="CW26">
        <v>43</v>
      </c>
      <c r="CX26">
        <f t="shared" si="55"/>
        <v>7.892779</v>
      </c>
      <c r="CY26">
        <v>74.054734089485805</v>
      </c>
      <c r="CZ26">
        <v>1.0094332347649E-4</v>
      </c>
      <c r="DA26">
        <v>2.0471581355555601E-3</v>
      </c>
      <c r="DB26" s="31">
        <f t="shared" si="56"/>
        <v>209.7506590251862</v>
      </c>
      <c r="DC26" s="31">
        <f t="shared" si="57"/>
        <v>15533.029279204569</v>
      </c>
      <c r="DD26" s="31">
        <f t="shared" si="58"/>
        <v>2.1172928623386329E-2</v>
      </c>
      <c r="DE26" s="31">
        <f t="shared" si="59"/>
        <v>0.42939276806155019</v>
      </c>
      <c r="DF26" s="655">
        <f t="shared" si="60"/>
        <v>15647.411204742335</v>
      </c>
      <c r="DG26">
        <v>2.72</v>
      </c>
      <c r="DH26">
        <f t="shared" si="61"/>
        <v>15338668.97562862</v>
      </c>
      <c r="DI26" s="419">
        <f t="shared" si="62"/>
        <v>15338.66897562862</v>
      </c>
      <c r="DJ26">
        <v>630.9</v>
      </c>
      <c r="DK26" s="419">
        <f t="shared" si="63"/>
        <v>16766.172064236183</v>
      </c>
      <c r="DM26"/>
      <c r="DN26" s="123">
        <f>(DN24-FE24)/FE24</f>
        <v>0.20028621637185448</v>
      </c>
      <c r="DO26" s="123">
        <f>(DO24-FF24)/FF24</f>
        <v>0.19123233506305398</v>
      </c>
      <c r="DP26" s="123">
        <f>(DP24-FG24)/FG24</f>
        <v>0.2320078593228706</v>
      </c>
      <c r="DS26" s="735" t="s">
        <v>337</v>
      </c>
      <c r="DT26" s="735">
        <v>678</v>
      </c>
      <c r="DU26" s="735">
        <v>11</v>
      </c>
      <c r="DV26" s="736">
        <v>0.02</v>
      </c>
      <c r="DW26" s="735" t="s">
        <v>184</v>
      </c>
      <c r="DX26" s="735" t="s">
        <v>184</v>
      </c>
      <c r="DZ26" s="121">
        <f t="shared" si="176"/>
        <v>2.5146968825918441E-3</v>
      </c>
      <c r="EA26" s="121">
        <f t="shared" si="176"/>
        <v>4.0798916974203957E-5</v>
      </c>
      <c r="EC26" s="31">
        <v>0</v>
      </c>
      <c r="ED26" s="121">
        <f t="shared" si="3"/>
        <v>0</v>
      </c>
      <c r="EG26" t="s">
        <v>302</v>
      </c>
      <c r="EH26" s="147">
        <f>ED20</f>
        <v>1.9146977548698985E-2</v>
      </c>
      <c r="EI26" s="31">
        <f t="shared" si="64"/>
        <v>20.883815026983729</v>
      </c>
      <c r="EJ26">
        <v>21.22</v>
      </c>
      <c r="EK26">
        <f t="shared" si="65"/>
        <v>0.2122</v>
      </c>
      <c r="EL26">
        <v>0.86499999999999999</v>
      </c>
      <c r="EM26">
        <f t="shared" si="66"/>
        <v>0.18355299999999999</v>
      </c>
      <c r="EN26">
        <v>43</v>
      </c>
      <c r="EO26">
        <f t="shared" si="67"/>
        <v>7.892779</v>
      </c>
      <c r="EP26">
        <v>74.054734089485805</v>
      </c>
      <c r="EQ26">
        <v>1.0094332347649E-4</v>
      </c>
      <c r="ER26">
        <v>2.0471581355555601E-3</v>
      </c>
      <c r="ES26" s="31">
        <f t="shared" si="18"/>
        <v>164.83133668486161</v>
      </c>
      <c r="ET26" s="31">
        <f t="shared" si="19"/>
        <v>12206.540807811933</v>
      </c>
      <c r="EU26" s="31">
        <f t="shared" si="20"/>
        <v>1.6638622938042219E-2</v>
      </c>
      <c r="EV26" s="31">
        <f t="shared" si="21"/>
        <v>0.33743581188891208</v>
      </c>
      <c r="EW26" s="655">
        <f t="shared" si="22"/>
        <v>12296.42717940476</v>
      </c>
      <c r="EX26">
        <v>2.72</v>
      </c>
      <c r="EY26">
        <f t="shared" si="23"/>
        <v>12053803.892534578</v>
      </c>
      <c r="EZ26" s="419">
        <f t="shared" si="68"/>
        <v>12053.803892534579</v>
      </c>
      <c r="FA26">
        <v>630.9</v>
      </c>
      <c r="FB26" s="419">
        <f t="shared" si="24"/>
        <v>13175.598900524034</v>
      </c>
      <c r="FE26" s="123">
        <f>(FE24-GV24)/GV24</f>
        <v>8.5850182955699517E-2</v>
      </c>
      <c r="FF26" s="123">
        <f t="shared" ref="FF26" si="205">(FF24-GW24)/GW24</f>
        <v>9.4492932516596767E-2</v>
      </c>
      <c r="FG26" s="123">
        <f>(FG24-GX24)/GX24</f>
        <v>8.1419517688857621E-2</v>
      </c>
      <c r="FJ26" s="637" t="s">
        <v>337</v>
      </c>
      <c r="FK26" s="629">
        <v>198</v>
      </c>
      <c r="FL26" s="629">
        <v>9</v>
      </c>
      <c r="FM26" s="630">
        <v>0.05</v>
      </c>
      <c r="FN26" s="629" t="s">
        <v>184</v>
      </c>
      <c r="FO26" s="639" t="s">
        <v>184</v>
      </c>
      <c r="FQ26" s="121">
        <f t="shared" si="178"/>
        <v>7.3438050553567124E-4</v>
      </c>
      <c r="FR26" s="121">
        <f t="shared" si="178"/>
        <v>3.3380932069803238E-5</v>
      </c>
      <c r="FT26" s="31">
        <v>0</v>
      </c>
      <c r="FU26" s="121">
        <f t="shared" si="5"/>
        <v>0</v>
      </c>
      <c r="FX26" t="s">
        <v>302</v>
      </c>
      <c r="FY26" s="147">
        <f>FU20</f>
        <v>1.8683875927738472E-2</v>
      </c>
      <c r="FZ26" s="31">
        <f t="shared" si="25"/>
        <v>18.633508919235318</v>
      </c>
      <c r="GA26">
        <v>21.22</v>
      </c>
      <c r="GB26">
        <f t="shared" si="129"/>
        <v>0.2122</v>
      </c>
      <c r="GC26">
        <v>0.86499999999999999</v>
      </c>
      <c r="GD26">
        <f t="shared" si="130"/>
        <v>0.18355299999999999</v>
      </c>
      <c r="GE26">
        <v>43</v>
      </c>
      <c r="GF26">
        <f t="shared" si="131"/>
        <v>7.892779</v>
      </c>
      <c r="GG26">
        <v>73.367561400348293</v>
      </c>
      <c r="GH26">
        <f>0.36897495946676/1000</f>
        <v>3.6897495946676E-4</v>
      </c>
      <c r="GI26">
        <f>2.09444904821954/1000</f>
        <v>2.0944490482195399E-3</v>
      </c>
      <c r="GJ26" s="31">
        <f t="shared" si="26"/>
        <v>147.07016789405321</v>
      </c>
      <c r="GK26" s="31">
        <f t="shared" si="27"/>
        <v>10790.179573126481</v>
      </c>
      <c r="GL26" s="31">
        <f t="shared" si="28"/>
        <v>5.4265209237477872E-2</v>
      </c>
      <c r="GM26" s="31">
        <f t="shared" si="29"/>
        <v>0.30803097316718769</v>
      </c>
      <c r="GN26" s="655">
        <f t="shared" si="72"/>
        <v>10873.327206874435</v>
      </c>
      <c r="GO26">
        <v>2.72</v>
      </c>
      <c r="GP26">
        <f t="shared" si="30"/>
        <v>10754963.212039918</v>
      </c>
      <c r="GQ26" s="419">
        <f t="shared" si="132"/>
        <v>10754.963212039918</v>
      </c>
      <c r="GR26">
        <v>630.9</v>
      </c>
      <c r="GS26" s="419">
        <f t="shared" si="31"/>
        <v>11755.880777145561</v>
      </c>
      <c r="GV26" s="123">
        <f>(GV24-IL24)/IL24</f>
        <v>-0.1096594137810787</v>
      </c>
      <c r="GW26" s="123">
        <f>(GW24-IM24)/IM24</f>
        <v>-9.1824713115323184E-2</v>
      </c>
      <c r="GX26" s="123">
        <f>(GX24-IN24)/IN24</f>
        <v>-9.632646691360397E-2</v>
      </c>
      <c r="GZ26" s="133" t="s">
        <v>301</v>
      </c>
      <c r="HA26" s="156">
        <v>28939</v>
      </c>
      <c r="HB26" s="156">
        <v>14744</v>
      </c>
      <c r="HC26" s="135">
        <v>0.51</v>
      </c>
      <c r="HD26" s="134">
        <v>36.94</v>
      </c>
      <c r="HE26" s="136">
        <v>13482</v>
      </c>
      <c r="HF26" s="121">
        <f t="shared" si="180"/>
        <v>9.1931128688967245E-2</v>
      </c>
      <c r="HG26" s="121">
        <f>(HA26-HA19-HA12)/HA26</f>
        <v>1.5480839006185425E-2</v>
      </c>
      <c r="HH26" s="121">
        <f t="shared" si="191"/>
        <v>9.4275637547476948E-3</v>
      </c>
      <c r="HJ26" s="31">
        <f>HE26*(HA26-HA19-HA12)/1000000</f>
        <v>6.039936</v>
      </c>
      <c r="HK26" s="121">
        <f t="shared" si="7"/>
        <v>1.4219214485185546E-3</v>
      </c>
      <c r="HN26" t="s">
        <v>302</v>
      </c>
      <c r="HO26" s="147">
        <f>HK20</f>
        <v>1.8372467397700678E-2</v>
      </c>
      <c r="HP26" s="31">
        <f t="shared" si="32"/>
        <v>20.40580590257898</v>
      </c>
      <c r="HQ26">
        <v>21.22</v>
      </c>
      <c r="HR26">
        <f t="shared" si="133"/>
        <v>0.2122</v>
      </c>
      <c r="HS26">
        <v>0.86499999999999999</v>
      </c>
      <c r="HT26">
        <f t="shared" si="134"/>
        <v>0.18355299999999999</v>
      </c>
      <c r="HU26">
        <v>43</v>
      </c>
      <c r="HV26">
        <f t="shared" si="135"/>
        <v>7.892779</v>
      </c>
      <c r="HW26">
        <v>73.367561400348293</v>
      </c>
      <c r="HX26">
        <f>0.36897495946676/1000</f>
        <v>3.6897495946676E-4</v>
      </c>
      <c r="HY26">
        <f>2.09444904821954/1000</f>
        <v>2.0944490482195399E-3</v>
      </c>
      <c r="HZ26" s="31">
        <f t="shared" si="33"/>
        <v>161.05851630595143</v>
      </c>
      <c r="IA26" s="31">
        <f t="shared" si="77"/>
        <v>11816.470584125887</v>
      </c>
      <c r="IB26" s="31">
        <f t="shared" si="34"/>
        <v>5.9426559525764935E-2</v>
      </c>
      <c r="IC26" s="31">
        <f t="shared" si="34"/>
        <v>0.33732885618465119</v>
      </c>
      <c r="ID26" s="655">
        <f t="shared" si="35"/>
        <v>11907.526674681541</v>
      </c>
      <c r="IE26">
        <v>2.72</v>
      </c>
      <c r="IF26">
        <f t="shared" si="36"/>
        <v>11777904.674074147</v>
      </c>
      <c r="IG26" s="419">
        <f t="shared" si="136"/>
        <v>11777.904674074147</v>
      </c>
      <c r="IH26">
        <v>630.9</v>
      </c>
      <c r="II26" s="419">
        <f t="shared" si="37"/>
        <v>12874.022943937078</v>
      </c>
      <c r="IK26" s="31"/>
      <c r="IL26" s="123">
        <f>(IL24-KB24)/KB24</f>
        <v>3.2801788886148583E-2</v>
      </c>
      <c r="IM26" s="123">
        <f>(IM24-KC24)/KC24</f>
        <v>2.0711144406196935E-2</v>
      </c>
      <c r="IN26" s="123">
        <f>(IN24-KD24)/KD24</f>
        <v>1.8477525782677952E-2</v>
      </c>
      <c r="IP26" s="637" t="s">
        <v>301</v>
      </c>
      <c r="IQ26" s="631">
        <v>28059</v>
      </c>
      <c r="IR26" s="631">
        <v>14602</v>
      </c>
      <c r="IS26" s="630">
        <v>0.52</v>
      </c>
      <c r="IT26" s="629">
        <v>36.840000000000003</v>
      </c>
      <c r="IU26" s="638">
        <v>13447</v>
      </c>
      <c r="IV26" s="121">
        <f t="shared" si="182"/>
        <v>8.9135614219003151E-2</v>
      </c>
      <c r="IW26" s="121">
        <f>(IQ26-IQ19-IQ12)/IQ26</f>
        <v>1.340033500837521E-2</v>
      </c>
      <c r="IX26" s="121">
        <f t="shared" si="195"/>
        <v>9.1083413231064243E-3</v>
      </c>
      <c r="IZ26" s="31">
        <f>IU26*(IQ26-IQ19-IQ12)/1000000</f>
        <v>5.0560720000000003</v>
      </c>
      <c r="JA26" s="121">
        <f t="shared" si="9"/>
        <v>1.1903002319981711E-3</v>
      </c>
      <c r="JD26" t="s">
        <v>302</v>
      </c>
      <c r="JE26" s="147">
        <f>JA20</f>
        <v>1.8574041730215027E-2</v>
      </c>
      <c r="JF26" s="31">
        <f t="shared" si="38"/>
        <v>20.403473237755382</v>
      </c>
      <c r="JG26">
        <v>21.22</v>
      </c>
      <c r="JH26">
        <f t="shared" si="137"/>
        <v>0.2122</v>
      </c>
      <c r="JI26">
        <v>0.86499999999999999</v>
      </c>
      <c r="JJ26">
        <f t="shared" si="138"/>
        <v>0.18355299999999999</v>
      </c>
      <c r="JK26">
        <v>43</v>
      </c>
      <c r="JL26">
        <f t="shared" si="139"/>
        <v>7.892779</v>
      </c>
      <c r="JM26">
        <v>73.367561400348293</v>
      </c>
      <c r="JN26">
        <f>0.36897495946676/1000</f>
        <v>3.6897495946676E-4</v>
      </c>
      <c r="JO26">
        <f>2.09444904821954/1000</f>
        <v>2.0944490482195399E-3</v>
      </c>
      <c r="JP26" s="31">
        <f t="shared" si="39"/>
        <v>161.04010509801768</v>
      </c>
      <c r="JQ26" s="31">
        <f t="shared" si="82"/>
        <v>11815.119798697355</v>
      </c>
      <c r="JR26" s="31">
        <f t="shared" si="40"/>
        <v>5.9419766251063842E-2</v>
      </c>
      <c r="JS26" s="31">
        <f t="shared" si="40"/>
        <v>0.33729029484771778</v>
      </c>
      <c r="JT26" s="655">
        <f t="shared" si="41"/>
        <v>11906.165480287031</v>
      </c>
      <c r="JU26">
        <v>2.72</v>
      </c>
      <c r="JV26">
        <f t="shared" si="42"/>
        <v>11776558.297260603</v>
      </c>
      <c r="JW26" s="419">
        <f t="shared" si="140"/>
        <v>11776.558297260603</v>
      </c>
      <c r="JX26">
        <v>630.9</v>
      </c>
      <c r="JY26" s="419">
        <f t="shared" si="43"/>
        <v>12872.551265699869</v>
      </c>
      <c r="KB26" s="123">
        <f>(KB24-KG24)/KG24</f>
        <v>2.8042488962377526E-2</v>
      </c>
      <c r="KC26" s="123">
        <f t="shared" ref="KC26:KD26" si="206">(KC24-KH24)/KH24</f>
        <v>2.8042488962377692E-2</v>
      </c>
      <c r="KD26" s="123">
        <f t="shared" si="206"/>
        <v>2.8042488962377599E-2</v>
      </c>
      <c r="KG26" s="123">
        <f>(KG24-KL24)/KL24</f>
        <v>8.0027290299421364E-2</v>
      </c>
      <c r="KH26" s="123">
        <f t="shared" ref="KH26" si="207">(KH24-KM24)/KM24</f>
        <v>8.0027290299421031E-2</v>
      </c>
      <c r="KI26" s="123">
        <f t="shared" ref="KI26" si="208">(KI24-KN24)/KN24</f>
        <v>8.0027290299421142E-2</v>
      </c>
    </row>
    <row r="27" spans="1:300" ht="16.5" customHeight="1" thickBot="1" x14ac:dyDescent="0.8">
      <c r="A27" s="1161"/>
      <c r="B27" s="341" t="s">
        <v>306</v>
      </c>
      <c r="C27" s="342">
        <v>38387</v>
      </c>
      <c r="D27" s="343">
        <v>39569</v>
      </c>
      <c r="E27" s="344">
        <v>37569</v>
      </c>
      <c r="F27" s="345">
        <v>115525</v>
      </c>
      <c r="G27" s="382">
        <v>469193</v>
      </c>
      <c r="H27" s="1176"/>
      <c r="I27" s="362">
        <v>-5.8474685793451248E-2</v>
      </c>
      <c r="J27" s="363">
        <v>-1.2760188212776139E-3</v>
      </c>
      <c r="K27" s="364">
        <v>-2.8704408751996091E-2</v>
      </c>
      <c r="L27" s="365">
        <v>-2.8704408751996091E-2</v>
      </c>
      <c r="M27" s="510">
        <v>4.4823455965850467E-2</v>
      </c>
      <c r="O27" s="206">
        <v>2021</v>
      </c>
      <c r="P27" s="160">
        <f>M231</f>
        <v>9.3659019351192141E-2</v>
      </c>
      <c r="Q27" s="95">
        <f>Q26*(1+P27)</f>
        <v>5.5245271184893161</v>
      </c>
      <c r="R27" s="656">
        <f>Q27*365*0.65</f>
        <v>1310.6940588615903</v>
      </c>
      <c r="S27" s="93">
        <f>Q27/0.16</f>
        <v>34.528294490558224</v>
      </c>
      <c r="T27" s="93">
        <f>S27/0.0194</f>
        <v>1779.8089943586713</v>
      </c>
      <c r="U27" s="656">
        <f>T27*$U$16</f>
        <v>1156.8758463331365</v>
      </c>
      <c r="V27">
        <f>V26*(1+P27)</f>
        <v>1276536.6485085057</v>
      </c>
      <c r="W27">
        <f>V27/10^6*$W$16</f>
        <v>6.3443871430872729</v>
      </c>
      <c r="X27" s="419">
        <f t="shared" si="144"/>
        <v>1328.56045199959</v>
      </c>
      <c r="Y27" s="25">
        <f>Y26*(1+P27)</f>
        <v>1046840.5779752806</v>
      </c>
      <c r="Z27">
        <f t="shared" si="126"/>
        <v>5.3270368301744666</v>
      </c>
      <c r="AA27" s="25">
        <f t="shared" si="127"/>
        <v>1678.016601504957</v>
      </c>
      <c r="AB27" s="419">
        <f t="shared" si="128"/>
        <v>1090.7107909782221</v>
      </c>
      <c r="AC27" s="419"/>
      <c r="AD27" s="419"/>
      <c r="AE27" s="419"/>
      <c r="AF27" s="419"/>
      <c r="AG27" s="795" t="s">
        <v>339</v>
      </c>
      <c r="AH27" s="793">
        <v>1025</v>
      </c>
      <c r="AI27" s="795">
        <v>404</v>
      </c>
      <c r="AJ27" s="794">
        <v>0.39</v>
      </c>
      <c r="AK27" s="795">
        <v>46.56</v>
      </c>
      <c r="AL27" s="802">
        <v>16993</v>
      </c>
      <c r="AM27" s="419"/>
      <c r="AN27" s="902">
        <f t="shared" si="174"/>
        <v>3.8017172635053686E-3</v>
      </c>
      <c r="AO27" s="902">
        <f t="shared" si="174"/>
        <v>1.4984329506889454E-3</v>
      </c>
      <c r="AP27">
        <f t="shared" si="11"/>
        <v>17.417825000000001</v>
      </c>
      <c r="AR27" s="121">
        <f t="shared" si="12"/>
        <v>3.5049563627502197E-3</v>
      </c>
      <c r="AS27" s="419"/>
      <c r="AT27" t="str">
        <f>AG21</f>
        <v>Vörubifreiðar &gt;12t</v>
      </c>
      <c r="AU27" t="s">
        <v>302</v>
      </c>
      <c r="AV27" s="147">
        <f>AR20</f>
        <v>2.033277448498395E-2</v>
      </c>
      <c r="AW27" s="31">
        <f t="shared" si="44"/>
        <v>28.698796059839886</v>
      </c>
      <c r="AX27">
        <v>21.22</v>
      </c>
      <c r="AY27">
        <f t="shared" si="45"/>
        <v>0.2122</v>
      </c>
      <c r="AZ27">
        <v>0.86499999999999999</v>
      </c>
      <c r="BA27">
        <f t="shared" si="46"/>
        <v>0.18355299999999999</v>
      </c>
      <c r="BB27">
        <v>43</v>
      </c>
      <c r="BC27">
        <f t="shared" si="47"/>
        <v>7.892779</v>
      </c>
      <c r="BD27">
        <v>73.510933419407394</v>
      </c>
      <c r="BE27">
        <v>8.2398639563294998E-4</v>
      </c>
      <c r="BF27">
        <v>3.54663097127342E-3</v>
      </c>
      <c r="BG27" s="31">
        <f t="shared" si="48"/>
        <v>226.513254866387</v>
      </c>
      <c r="BH27" s="31">
        <f t="shared" si="89"/>
        <v>16651.200797096233</v>
      </c>
      <c r="BI27" s="31">
        <f t="shared" si="49"/>
        <v>0.18664384044044199</v>
      </c>
      <c r="BJ27" s="31">
        <f t="shared" si="49"/>
        <v>0.80335892511307783</v>
      </c>
      <c r="BK27" s="655">
        <f t="shared" si="109"/>
        <v>16869.31693978353</v>
      </c>
      <c r="BL27">
        <v>2.72</v>
      </c>
      <c r="BM27">
        <f t="shared" si="84"/>
        <v>16564485.905002628</v>
      </c>
      <c r="BN27" s="419">
        <f t="shared" si="50"/>
        <v>16564.485905002628</v>
      </c>
      <c r="BO27">
        <v>630.9</v>
      </c>
      <c r="BP27" s="419">
        <f t="shared" si="51"/>
        <v>18106.070434152982</v>
      </c>
      <c r="BQ27" s="419"/>
      <c r="BR27" s="419"/>
      <c r="BZ27" s="419"/>
      <c r="CB27" s="795" t="s">
        <v>339</v>
      </c>
      <c r="CC27" s="793">
        <v>1025</v>
      </c>
      <c r="CD27" s="795">
        <v>404</v>
      </c>
      <c r="CE27" s="794">
        <v>0.39</v>
      </c>
      <c r="CF27" s="795">
        <v>46.56</v>
      </c>
      <c r="CG27" s="802">
        <v>16993</v>
      </c>
      <c r="CI27" s="121">
        <f t="shared" si="175"/>
        <v>3.8017172635053686E-3</v>
      </c>
      <c r="CJ27" s="121">
        <f t="shared" si="175"/>
        <v>1.4984329506889454E-3</v>
      </c>
      <c r="CL27" s="31">
        <f>CG27*CC27/1000000</f>
        <v>17.417825000000001</v>
      </c>
      <c r="CM27" s="121">
        <f t="shared" si="1"/>
        <v>3.5449687522640791E-3</v>
      </c>
      <c r="CO27" t="str">
        <f>CB21</f>
        <v>Vörubifreiðar &gt;12t</v>
      </c>
      <c r="CP27" t="s">
        <v>264</v>
      </c>
      <c r="CQ27" s="147">
        <f>CM13</f>
        <v>6.7362674509948187E-4</v>
      </c>
      <c r="CR27" s="31">
        <f t="shared" si="52"/>
        <v>0.90898071941326886</v>
      </c>
      <c r="CS27">
        <v>25</v>
      </c>
      <c r="CT27">
        <f t="shared" si="53"/>
        <v>0.25</v>
      </c>
      <c r="CU27">
        <v>0.75</v>
      </c>
      <c r="CV27">
        <f t="shared" si="54"/>
        <v>0.1875</v>
      </c>
      <c r="CW27">
        <v>44.3</v>
      </c>
      <c r="CX27">
        <f t="shared" si="55"/>
        <v>8.3062499999999986</v>
      </c>
      <c r="CY27">
        <v>71.051104664576499</v>
      </c>
      <c r="CZ27">
        <v>1.53682172957139E-2</v>
      </c>
      <c r="DA27">
        <v>8.2329735512008E-4</v>
      </c>
      <c r="DB27" s="31">
        <f t="shared" si="56"/>
        <v>7.5502211006264632</v>
      </c>
      <c r="DC27" s="31">
        <f t="shared" si="57"/>
        <v>536.45154966130485</v>
      </c>
      <c r="DD27" s="31">
        <f t="shared" si="58"/>
        <v>0.11603343850511165</v>
      </c>
      <c r="DE27" s="31">
        <f t="shared" si="59"/>
        <v>6.2160770627175867E-3</v>
      </c>
      <c r="DF27" s="655">
        <f t="shared" si="60"/>
        <v>541.34774636106818</v>
      </c>
      <c r="DG27">
        <v>2.34</v>
      </c>
      <c r="DH27">
        <f t="shared" si="61"/>
        <v>531753.72085676226</v>
      </c>
      <c r="DI27" s="419">
        <f t="shared" si="62"/>
        <v>531.75372085676224</v>
      </c>
      <c r="DJ27">
        <v>512.9</v>
      </c>
      <c r="DK27" s="419">
        <f t="shared" si="63"/>
        <v>466.21621098706555</v>
      </c>
      <c r="DM27"/>
      <c r="DN27"/>
      <c r="DO27"/>
      <c r="DP27"/>
      <c r="DS27" s="732" t="s">
        <v>339</v>
      </c>
      <c r="DT27" s="732">
        <v>866</v>
      </c>
      <c r="DU27" s="732">
        <v>286</v>
      </c>
      <c r="DV27" s="734">
        <v>0.33</v>
      </c>
      <c r="DW27" s="732">
        <v>47.14</v>
      </c>
      <c r="DX27" s="733">
        <v>17204</v>
      </c>
      <c r="DZ27" s="121">
        <f t="shared" si="176"/>
        <v>3.2119874636055115E-3</v>
      </c>
      <c r="EA27" s="121">
        <f t="shared" si="176"/>
        <v>1.0607718413293029E-3</v>
      </c>
      <c r="EC27" s="31">
        <f>DX27*DT27/1000000</f>
        <v>14.898664</v>
      </c>
      <c r="ED27" s="121">
        <f t="shared" si="3"/>
        <v>3.575129242565003E-3</v>
      </c>
      <c r="EF27" t="str">
        <f>DS21</f>
        <v>Vörubifreiðar &gt;12t</v>
      </c>
      <c r="EG27" t="s">
        <v>264</v>
      </c>
      <c r="EH27" s="147">
        <f>ED13</f>
        <v>1.0555793343766269E-3</v>
      </c>
      <c r="EI27" s="31">
        <f t="shared" si="64"/>
        <v>1.151331770738196</v>
      </c>
      <c r="EJ27">
        <v>25</v>
      </c>
      <c r="EK27">
        <f t="shared" si="65"/>
        <v>0.25</v>
      </c>
      <c r="EL27">
        <v>0.75</v>
      </c>
      <c r="EM27">
        <f t="shared" si="66"/>
        <v>0.1875</v>
      </c>
      <c r="EN27">
        <v>44.3</v>
      </c>
      <c r="EO27">
        <f t="shared" si="67"/>
        <v>8.3062499999999986</v>
      </c>
      <c r="EP27">
        <v>71.051104664576499</v>
      </c>
      <c r="EQ27">
        <v>1.53682172957139E-2</v>
      </c>
      <c r="ER27">
        <v>8.2329735512008E-4</v>
      </c>
      <c r="ES27" s="31">
        <f t="shared" si="18"/>
        <v>9.5632495206941392</v>
      </c>
      <c r="ET27" s="31">
        <f t="shared" si="19"/>
        <v>679.47944262830038</v>
      </c>
      <c r="EU27" s="31">
        <f t="shared" si="20"/>
        <v>0.14697009668715932</v>
      </c>
      <c r="EV27" s="31">
        <f t="shared" si="21"/>
        <v>7.8733980367408571E-3</v>
      </c>
      <c r="EW27" s="655">
        <f t="shared" si="22"/>
        <v>685.68105581527709</v>
      </c>
      <c r="EX27">
        <v>2.34</v>
      </c>
      <c r="EY27">
        <f t="shared" si="23"/>
        <v>673529.08588184463</v>
      </c>
      <c r="EZ27" s="419">
        <f t="shared" si="68"/>
        <v>673.52908588184459</v>
      </c>
      <c r="FA27">
        <v>512.9</v>
      </c>
      <c r="FB27" s="419">
        <f t="shared" si="24"/>
        <v>590.51806521162064</v>
      </c>
      <c r="FJ27" s="635" t="s">
        <v>339</v>
      </c>
      <c r="FK27" s="628">
        <v>689</v>
      </c>
      <c r="FL27" s="628">
        <v>204</v>
      </c>
      <c r="FM27" s="627">
        <v>0.3</v>
      </c>
      <c r="FN27" s="628">
        <v>47.04</v>
      </c>
      <c r="FO27" s="636">
        <v>17171</v>
      </c>
      <c r="FQ27" s="121">
        <f t="shared" si="178"/>
        <v>2.555495799566048E-3</v>
      </c>
      <c r="FR27" s="121">
        <f t="shared" si="178"/>
        <v>7.5663446024887336E-4</v>
      </c>
      <c r="FT27" s="31">
        <f>FO27*FK27/1000000</f>
        <v>11.830819</v>
      </c>
      <c r="FU27" s="121">
        <f t="shared" si="5"/>
        <v>2.8389597195019396E-3</v>
      </c>
      <c r="FW27" t="str">
        <f>FJ21</f>
        <v>Vörubifreiðar &gt;12t</v>
      </c>
      <c r="FX27" t="s">
        <v>264</v>
      </c>
      <c r="FY27" s="147">
        <f>FU13</f>
        <v>9.1998387891580686E-4</v>
      </c>
      <c r="FZ27" s="31">
        <f t="shared" si="25"/>
        <v>0.91750383483762266</v>
      </c>
      <c r="GA27">
        <v>25</v>
      </c>
      <c r="GB27">
        <f t="shared" si="129"/>
        <v>0.25</v>
      </c>
      <c r="GC27">
        <v>0.75</v>
      </c>
      <c r="GD27">
        <f t="shared" si="130"/>
        <v>0.1875</v>
      </c>
      <c r="GE27">
        <v>44.3</v>
      </c>
      <c r="GF27">
        <f t="shared" si="131"/>
        <v>8.3062499999999986</v>
      </c>
      <c r="GG27">
        <v>72.512080209241503</v>
      </c>
      <c r="GH27">
        <f>15.8206501432308/1000</f>
        <v>1.5820650143230801E-2</v>
      </c>
      <c r="GI27">
        <f>0.84755262174617/1000</f>
        <v>8.4755262174616996E-4</v>
      </c>
      <c r="GJ27" s="31">
        <f t="shared" si="26"/>
        <v>7.621016228120002</v>
      </c>
      <c r="GK27" s="31">
        <f t="shared" si="27"/>
        <v>552.61574000936878</v>
      </c>
      <c r="GL27" s="31">
        <f t="shared" si="28"/>
        <v>0.12056943148097096</v>
      </c>
      <c r="GM27" s="31">
        <f t="shared" si="29"/>
        <v>6.4592122845132148E-3</v>
      </c>
      <c r="GN27" s="655">
        <f t="shared" si="72"/>
        <v>557.70337534623195</v>
      </c>
      <c r="GO27">
        <v>2.34</v>
      </c>
      <c r="GP27">
        <f t="shared" si="30"/>
        <v>536739.7433800092</v>
      </c>
      <c r="GQ27" s="419">
        <f t="shared" si="132"/>
        <v>536.73974338000914</v>
      </c>
      <c r="GR27">
        <v>512.9</v>
      </c>
      <c r="GS27" s="419">
        <f t="shared" si="31"/>
        <v>470.58771688821662</v>
      </c>
      <c r="GZ27" s="116" t="s">
        <v>305</v>
      </c>
      <c r="HA27" s="117">
        <v>5887</v>
      </c>
      <c r="HB27" s="117">
        <v>2927</v>
      </c>
      <c r="HC27" s="118">
        <v>0.5</v>
      </c>
      <c r="HD27" s="119">
        <v>39.71</v>
      </c>
      <c r="HE27" s="120">
        <v>14496</v>
      </c>
      <c r="HF27" s="121">
        <f t="shared" si="180"/>
        <v>1.870135645986213E-2</v>
      </c>
      <c r="HG27" s="121">
        <f>(HA27-HA20-HA13)/HA27</f>
        <v>3.3973161202649905E-4</v>
      </c>
      <c r="HH27" s="121">
        <f>(HB27-HB20-HB13)/HB27</f>
        <v>0</v>
      </c>
      <c r="HJ27" s="31">
        <f>HE27*(HA27-HA20-HA13)/1000000</f>
        <v>2.8992E-2</v>
      </c>
      <c r="HK27" s="121">
        <f t="shared" si="7"/>
        <v>6.8252952738985866E-6</v>
      </c>
      <c r="HM27" t="str">
        <f>GZ21</f>
        <v>Vörubifreiðar &gt;12t</v>
      </c>
      <c r="HN27" t="s">
        <v>264</v>
      </c>
      <c r="HO27" s="147">
        <f>HK13</f>
        <v>1.1990726857023404E-3</v>
      </c>
      <c r="HP27" s="31">
        <f t="shared" si="32"/>
        <v>1.3317778150249016</v>
      </c>
      <c r="HQ27">
        <v>25</v>
      </c>
      <c r="HR27">
        <f t="shared" si="133"/>
        <v>0.25</v>
      </c>
      <c r="HS27">
        <v>0.75</v>
      </c>
      <c r="HT27">
        <f t="shared" si="134"/>
        <v>0.1875</v>
      </c>
      <c r="HU27">
        <v>44.3</v>
      </c>
      <c r="HV27">
        <f t="shared" si="135"/>
        <v>8.3062499999999986</v>
      </c>
      <c r="HW27">
        <v>72.512080209241503</v>
      </c>
      <c r="HX27">
        <f>15.8206501432308/1000</f>
        <v>1.5820650143230801E-2</v>
      </c>
      <c r="HY27">
        <f>0.84755262174617/1000</f>
        <v>8.4755262174616996E-4</v>
      </c>
      <c r="HZ27" s="31">
        <f t="shared" si="33"/>
        <v>11.062079476050586</v>
      </c>
      <c r="IA27" s="31">
        <f t="shared" si="77"/>
        <v>802.1343942483843</v>
      </c>
      <c r="IB27" s="31">
        <f t="shared" ref="IB27:IB28" si="209">$HZ27*HX27</f>
        <v>0.17500928924721021</v>
      </c>
      <c r="IC27" s="31">
        <f t="shared" ref="IC27:IC28" si="210">$HZ27*HY27</f>
        <v>9.3756944618911733E-3</v>
      </c>
      <c r="ID27" s="655">
        <f t="shared" si="35"/>
        <v>809.51921337970737</v>
      </c>
      <c r="IE27">
        <v>2.34</v>
      </c>
      <c r="IF27">
        <f t="shared" si="36"/>
        <v>779090.02178956731</v>
      </c>
      <c r="IG27" s="419">
        <f t="shared" si="136"/>
        <v>779.09002178956734</v>
      </c>
      <c r="IH27">
        <v>512.9</v>
      </c>
      <c r="II27" s="419">
        <f t="shared" si="37"/>
        <v>683.06884132627192</v>
      </c>
      <c r="IK27" s="31"/>
      <c r="IL27" s="31"/>
      <c r="IM27" s="31"/>
      <c r="IN27" s="31"/>
      <c r="IP27" s="635" t="s">
        <v>305</v>
      </c>
      <c r="IQ27" s="626">
        <v>5748</v>
      </c>
      <c r="IR27" s="626">
        <v>2775</v>
      </c>
      <c r="IS27" s="627">
        <v>0.48</v>
      </c>
      <c r="IT27" s="628">
        <v>41.09</v>
      </c>
      <c r="IU27" s="636">
        <v>14999</v>
      </c>
      <c r="IV27" s="121">
        <f t="shared" si="182"/>
        <v>1.8259792242447347E-2</v>
      </c>
      <c r="IW27" s="121">
        <f>(IQ27-IQ20-IQ13)/IQ27</f>
        <v>5.2192066805845506E-4</v>
      </c>
      <c r="IX27" s="121">
        <f>(IR27-IR20-IR13)/IR27</f>
        <v>0</v>
      </c>
      <c r="IZ27" s="31">
        <f>IU27*(IQ27-IQ20-IQ13)/1000000</f>
        <v>4.4997000000000002E-2</v>
      </c>
      <c r="JA27" s="121">
        <f t="shared" si="9"/>
        <v>1.0593191619743885E-5</v>
      </c>
      <c r="JC27" t="str">
        <f>IP21</f>
        <v>Vörubifreiðar &gt;12t</v>
      </c>
      <c r="JD27" t="s">
        <v>264</v>
      </c>
      <c r="JE27" s="147">
        <f>JA13</f>
        <v>9.2119592142013082E-4</v>
      </c>
      <c r="JF27" s="31">
        <f t="shared" si="38"/>
        <v>1.0119281846368209</v>
      </c>
      <c r="JG27">
        <v>25</v>
      </c>
      <c r="JH27">
        <f t="shared" si="137"/>
        <v>0.25</v>
      </c>
      <c r="JI27">
        <v>0.75</v>
      </c>
      <c r="JJ27">
        <f t="shared" si="138"/>
        <v>0.1875</v>
      </c>
      <c r="JK27">
        <v>44.3</v>
      </c>
      <c r="JL27">
        <f t="shared" si="139"/>
        <v>8.3062499999999986</v>
      </c>
      <c r="JM27">
        <v>72.512080209241503</v>
      </c>
      <c r="JN27">
        <f>15.8206501432308/1000</f>
        <v>1.5820650143230801E-2</v>
      </c>
      <c r="JO27">
        <f>0.84755262174617/1000</f>
        <v>8.4755262174616996E-4</v>
      </c>
      <c r="JP27" s="31">
        <f t="shared" si="39"/>
        <v>8.4053284836395914</v>
      </c>
      <c r="JQ27" s="31">
        <f t="shared" si="82"/>
        <v>609.48785319069634</v>
      </c>
      <c r="JR27" s="31">
        <f t="shared" ref="JR27:JR28" si="211">$JP27*JN27</f>
        <v>0.13297776127859462</v>
      </c>
      <c r="JS27" s="31">
        <f t="shared" ref="JS27:JS28" si="212">$JP27*JO27</f>
        <v>7.1239581929464953E-3</v>
      </c>
      <c r="JT27" s="655">
        <f t="shared" si="41"/>
        <v>615.09907942762788</v>
      </c>
      <c r="JU27">
        <v>2.34</v>
      </c>
      <c r="JV27">
        <f t="shared" si="42"/>
        <v>591977.98801254015</v>
      </c>
      <c r="JW27" s="419">
        <f t="shared" si="140"/>
        <v>591.97798801254021</v>
      </c>
      <c r="JX27">
        <v>512.9</v>
      </c>
      <c r="JY27" s="419">
        <f t="shared" si="43"/>
        <v>519.01796590022536</v>
      </c>
    </row>
    <row r="28" spans="1:300" ht="16.5" customHeight="1" thickBot="1" x14ac:dyDescent="0.8">
      <c r="A28" s="1161"/>
      <c r="B28" s="341" t="s">
        <v>310</v>
      </c>
      <c r="C28" s="342">
        <v>42024</v>
      </c>
      <c r="D28" s="343">
        <v>42513</v>
      </c>
      <c r="E28" s="344">
        <v>40787</v>
      </c>
      <c r="F28" s="383">
        <v>125324</v>
      </c>
      <c r="G28" s="382">
        <v>594517</v>
      </c>
      <c r="H28" s="1176"/>
      <c r="I28" s="362">
        <v>4.4619553058738722E-2</v>
      </c>
      <c r="J28" s="363">
        <v>3.0547273737935216E-2</v>
      </c>
      <c r="K28" s="364">
        <v>3.769085549630713E-2</v>
      </c>
      <c r="L28" s="365">
        <v>3.769085549630713E-2</v>
      </c>
      <c r="M28" s="510">
        <v>4.3311761643636926E-2</v>
      </c>
      <c r="O28" s="206">
        <v>2022</v>
      </c>
      <c r="P28" s="160">
        <f>M244</f>
        <v>1.5673284626551043E-2</v>
      </c>
      <c r="Q28" s="95">
        <f>Q27*(1+P28)</f>
        <v>5.6111146044444986</v>
      </c>
      <c r="R28" s="656">
        <f>Q28*365*0.65</f>
        <v>1331.2369399044574</v>
      </c>
      <c r="S28" s="93">
        <f>Q28/0.16</f>
        <v>35.069466277778119</v>
      </c>
      <c r="T28" s="93">
        <f>S28/0.0194</f>
        <v>1807.7044473081505</v>
      </c>
      <c r="U28" s="656">
        <f>T28*$U$16</f>
        <v>1175.007890750298</v>
      </c>
      <c r="V28">
        <f>V27*(1+P28)</f>
        <v>1296544.170736803</v>
      </c>
      <c r="W28">
        <f>V28/10^6*$W$16</f>
        <v>6.4438245285619109</v>
      </c>
      <c r="X28" s="419">
        <f t="shared" si="144"/>
        <v>1349.3833581073591</v>
      </c>
      <c r="Y28" s="25">
        <f>Y27*(1+P28)</f>
        <v>1063248.0083125103</v>
      </c>
      <c r="Z28">
        <f t="shared" si="126"/>
        <v>5.410528994629912</v>
      </c>
      <c r="AA28" s="25">
        <f t="shared" si="127"/>
        <v>1704.3166333084223</v>
      </c>
      <c r="AB28" s="419">
        <f t="shared" si="128"/>
        <v>1107.8058116504744</v>
      </c>
      <c r="AC28" s="419"/>
      <c r="AD28" s="419"/>
      <c r="AE28" s="419"/>
      <c r="AF28" s="419"/>
      <c r="AG28" s="795" t="s">
        <v>703</v>
      </c>
      <c r="AH28" s="793">
        <v>195</v>
      </c>
      <c r="AI28" s="795">
        <v>139</v>
      </c>
      <c r="AJ28" s="794">
        <v>0.71</v>
      </c>
      <c r="AK28" s="795">
        <v>49.86</v>
      </c>
      <c r="AL28" s="802">
        <v>18199</v>
      </c>
      <c r="AM28" s="419"/>
      <c r="AN28" s="902">
        <f t="shared" si="174"/>
        <v>7.2325352817907012E-4</v>
      </c>
      <c r="AO28" s="902">
        <f t="shared" si="174"/>
        <v>5.1554995085585002E-4</v>
      </c>
      <c r="AP28">
        <f t="shared" si="11"/>
        <v>3.5488050000000002</v>
      </c>
      <c r="AR28" s="121">
        <f t="shared" si="12"/>
        <v>7.1411939578620138E-4</v>
      </c>
      <c r="AS28" s="419"/>
      <c r="AU28" t="s">
        <v>264</v>
      </c>
      <c r="AV28" s="147">
        <f>AR13</f>
        <v>5.3301307216330294E-4</v>
      </c>
      <c r="AW28" s="31">
        <f t="shared" si="44"/>
        <v>0.75232396181545635</v>
      </c>
      <c r="AX28">
        <v>25</v>
      </c>
      <c r="AY28">
        <f t="shared" si="45"/>
        <v>0.25</v>
      </c>
      <c r="AZ28">
        <v>0.75</v>
      </c>
      <c r="BA28">
        <f t="shared" si="46"/>
        <v>0.1875</v>
      </c>
      <c r="BB28">
        <v>44.3</v>
      </c>
      <c r="BC28">
        <f t="shared" si="47"/>
        <v>8.3062499999999986</v>
      </c>
      <c r="BD28">
        <v>72.326894595976398</v>
      </c>
      <c r="BE28">
        <v>1.4879032033184299E-2</v>
      </c>
      <c r="BF28">
        <v>7.9709100174625005E-4</v>
      </c>
      <c r="BG28" s="31">
        <f t="shared" si="48"/>
        <v>6.2489909078296328</v>
      </c>
      <c r="BH28" s="31">
        <f t="shared" si="89"/>
        <v>451.97010672180869</v>
      </c>
      <c r="BI28" s="31">
        <f t="shared" si="49"/>
        <v>9.2978935892674544E-2</v>
      </c>
      <c r="BJ28" s="31">
        <f t="shared" si="49"/>
        <v>4.9810144226251308E-3</v>
      </c>
      <c r="BK28" s="655">
        <f t="shared" si="109"/>
        <v>455.89348574879921</v>
      </c>
      <c r="BL28">
        <v>2.34</v>
      </c>
      <c r="BM28">
        <f t="shared" si="84"/>
        <v>440109.51766204194</v>
      </c>
      <c r="BN28" s="419">
        <f t="shared" si="50"/>
        <v>440.10951766204192</v>
      </c>
      <c r="BO28">
        <v>512.9</v>
      </c>
      <c r="BP28" s="419">
        <f t="shared" si="51"/>
        <v>385.86696001514753</v>
      </c>
      <c r="BQ28" s="419"/>
      <c r="BR28" s="419"/>
      <c r="BS28" s="419"/>
      <c r="BT28" s="419"/>
      <c r="BU28" s="419"/>
      <c r="BV28" s="419"/>
      <c r="BW28" s="419"/>
      <c r="BX28" s="419"/>
      <c r="BY28" s="419"/>
      <c r="BZ28" s="419"/>
      <c r="CB28" s="796" t="s">
        <v>340</v>
      </c>
      <c r="CC28" s="798">
        <v>1393</v>
      </c>
      <c r="CD28" s="796">
        <v>861</v>
      </c>
      <c r="CE28" s="797">
        <v>0.62</v>
      </c>
      <c r="CF28" s="796">
        <v>43.72</v>
      </c>
      <c r="CG28" s="803">
        <v>15959</v>
      </c>
      <c r="CI28" s="121">
        <f t="shared" si="175"/>
        <v>5.1666264859151012E-3</v>
      </c>
      <c r="CJ28" s="121">
        <f t="shared" si="175"/>
        <v>3.1934425013445096E-3</v>
      </c>
      <c r="CL28" s="31">
        <f>CG28*CC28/1000000</f>
        <v>22.230886999999999</v>
      </c>
      <c r="CM28" s="121">
        <f t="shared" si="1"/>
        <v>4.5245488314478834E-3</v>
      </c>
      <c r="CP28" t="s">
        <v>302</v>
      </c>
      <c r="CQ28" s="147">
        <f>CM21</f>
        <v>5.17278538335261E-2</v>
      </c>
      <c r="CR28" s="31">
        <f t="shared" si="52"/>
        <v>69.800705113570075</v>
      </c>
      <c r="CS28">
        <v>21.22</v>
      </c>
      <c r="CT28">
        <f t="shared" si="53"/>
        <v>0.2122</v>
      </c>
      <c r="CU28">
        <v>0.86499999999999999</v>
      </c>
      <c r="CV28">
        <f t="shared" si="54"/>
        <v>0.18355299999999999</v>
      </c>
      <c r="CW28">
        <v>43</v>
      </c>
      <c r="CX28">
        <f t="shared" si="55"/>
        <v>7.892779</v>
      </c>
      <c r="CY28">
        <v>74.054734089485507</v>
      </c>
      <c r="CZ28">
        <v>1.4363980931045299E-3</v>
      </c>
      <c r="DA28">
        <v>3.0837733297494202E-3</v>
      </c>
      <c r="DB28" s="31">
        <f t="shared" si="56"/>
        <v>550.92153950557849</v>
      </c>
      <c r="DC28" s="31">
        <f t="shared" si="57"/>
        <v>40798.348112255597</v>
      </c>
      <c r="DD28" s="31">
        <f t="shared" si="58"/>
        <v>0.79134264879602489</v>
      </c>
      <c r="DE28" s="31">
        <f t="shared" si="59"/>
        <v>1.6989171503117946</v>
      </c>
      <c r="DF28" s="655">
        <f t="shared" si="60"/>
        <v>41270.718751254513</v>
      </c>
      <c r="DG28">
        <v>2.72</v>
      </c>
      <c r="DH28">
        <f t="shared" si="61"/>
        <v>40287850.180270828</v>
      </c>
      <c r="DI28" s="419">
        <f t="shared" si="62"/>
        <v>40287.850180270827</v>
      </c>
      <c r="DJ28">
        <v>630.9</v>
      </c>
      <c r="DK28" s="419">
        <f t="shared" si="63"/>
        <v>44037.264856151356</v>
      </c>
      <c r="DS28" s="735" t="s">
        <v>340</v>
      </c>
      <c r="DT28" s="737">
        <v>1400</v>
      </c>
      <c r="DU28" s="735">
        <v>899</v>
      </c>
      <c r="DV28" s="736">
        <v>0.64</v>
      </c>
      <c r="DW28" s="735">
        <v>39.1</v>
      </c>
      <c r="DX28" s="737">
        <v>14273</v>
      </c>
      <c r="DZ28" s="121">
        <f t="shared" si="176"/>
        <v>5.1925894330805038E-3</v>
      </c>
      <c r="EA28" s="121">
        <f t="shared" si="176"/>
        <v>3.3343842145281233E-3</v>
      </c>
      <c r="EC28" s="31">
        <f>DX28*DT28/1000000</f>
        <v>19.982199999999999</v>
      </c>
      <c r="ED28" s="121">
        <f t="shared" si="3"/>
        <v>4.7949901783664898E-3</v>
      </c>
      <c r="EG28" t="s">
        <v>302</v>
      </c>
      <c r="EH28" s="147">
        <f>ED21</f>
        <v>4.2112401619896093E-2</v>
      </c>
      <c r="EI28" s="31">
        <f t="shared" si="64"/>
        <v>45.932450880829428</v>
      </c>
      <c r="EJ28">
        <v>21.22</v>
      </c>
      <c r="EK28">
        <f t="shared" si="65"/>
        <v>0.2122</v>
      </c>
      <c r="EL28">
        <v>0.86499999999999999</v>
      </c>
      <c r="EM28">
        <f t="shared" si="66"/>
        <v>0.18355299999999999</v>
      </c>
      <c r="EN28">
        <v>43</v>
      </c>
      <c r="EO28">
        <f t="shared" si="67"/>
        <v>7.892779</v>
      </c>
      <c r="EP28">
        <v>74.054734089485507</v>
      </c>
      <c r="EQ28">
        <v>1.4363980931045299E-3</v>
      </c>
      <c r="ER28">
        <v>3.0837733297494202E-3</v>
      </c>
      <c r="ES28" s="31">
        <f t="shared" si="18"/>
        <v>362.53468373074202</v>
      </c>
      <c r="ET28" s="31">
        <f t="shared" si="19"/>
        <v>26847.409601895826</v>
      </c>
      <c r="EU28" s="31">
        <f t="shared" si="20"/>
        <v>0.52074412839509165</v>
      </c>
      <c r="EV28" s="31">
        <f t="shared" si="21"/>
        <v>1.1179747887980032</v>
      </c>
      <c r="EW28" s="655">
        <f t="shared" si="22"/>
        <v>27158.253756522357</v>
      </c>
      <c r="EX28">
        <v>2.72</v>
      </c>
      <c r="EY28">
        <f t="shared" si="23"/>
        <v>26511475.729200654</v>
      </c>
      <c r="EZ28" s="419">
        <f t="shared" si="68"/>
        <v>26511.475729200654</v>
      </c>
      <c r="FA28">
        <v>630.9</v>
      </c>
      <c r="FB28" s="419">
        <f t="shared" si="24"/>
        <v>28978.783260715289</v>
      </c>
      <c r="FJ28" s="637" t="s">
        <v>340</v>
      </c>
      <c r="FK28" s="631">
        <v>1419</v>
      </c>
      <c r="FL28" s="629">
        <v>708</v>
      </c>
      <c r="FM28" s="630">
        <v>0.5</v>
      </c>
      <c r="FN28" s="629">
        <v>40.450000000000003</v>
      </c>
      <c r="FO28" s="638">
        <v>14764</v>
      </c>
      <c r="FQ28" s="121">
        <f t="shared" si="178"/>
        <v>5.2630602896723104E-3</v>
      </c>
      <c r="FR28" s="121">
        <f t="shared" si="178"/>
        <v>2.6259666561578546E-3</v>
      </c>
      <c r="FT28" s="31">
        <f>FO28*FK28/1000000</f>
        <v>20.950116000000001</v>
      </c>
      <c r="FU28" s="121">
        <f t="shared" si="5"/>
        <v>5.027254279090323E-3</v>
      </c>
      <c r="FX28" t="s">
        <v>302</v>
      </c>
      <c r="FY28" s="147">
        <f>FU21</f>
        <v>3.9535258413786592E-2</v>
      </c>
      <c r="FZ28" s="31">
        <f t="shared" si="25"/>
        <v>39.428681346779562</v>
      </c>
      <c r="GA28">
        <v>21.22</v>
      </c>
      <c r="GB28">
        <f t="shared" si="129"/>
        <v>0.2122</v>
      </c>
      <c r="GC28">
        <v>0.86499999999999999</v>
      </c>
      <c r="GD28">
        <f t="shared" si="130"/>
        <v>0.18355299999999999</v>
      </c>
      <c r="GE28">
        <v>43</v>
      </c>
      <c r="GF28">
        <f t="shared" si="131"/>
        <v>7.892779</v>
      </c>
      <c r="GG28">
        <v>73.367479939063301</v>
      </c>
      <c r="GH28">
        <f>2.07749454663654/1000</f>
        <v>2.0774945466365403E-3</v>
      </c>
      <c r="GI28">
        <f>2.35970659533889/1000</f>
        <v>2.3597065953388898E-3</v>
      </c>
      <c r="GJ28" s="31">
        <f t="shared" si="26"/>
        <v>311.20186813155345</v>
      </c>
      <c r="GK28" s="31">
        <f t="shared" si="27"/>
        <v>22832.096817140769</v>
      </c>
      <c r="GL28" s="31">
        <f t="shared" si="28"/>
        <v>0.64652018394640609</v>
      </c>
      <c r="GM28" s="31">
        <f t="shared" si="29"/>
        <v>0.73434510071181014</v>
      </c>
      <c r="GN28" s="655">
        <f t="shared" si="72"/>
        <v>23044.800833979898</v>
      </c>
      <c r="GO28">
        <v>2.72</v>
      </c>
      <c r="GP28">
        <f t="shared" si="30"/>
        <v>22757604.014459617</v>
      </c>
      <c r="GQ28" s="419">
        <f t="shared" si="132"/>
        <v>22757.604014459619</v>
      </c>
      <c r="GR28">
        <v>630.9</v>
      </c>
      <c r="GS28" s="419">
        <f t="shared" si="31"/>
        <v>24875.555061683226</v>
      </c>
      <c r="GZ28" s="186" t="s">
        <v>308</v>
      </c>
      <c r="HA28" s="187">
        <v>6961</v>
      </c>
      <c r="HB28" s="187">
        <v>3398</v>
      </c>
      <c r="HC28" s="188">
        <v>0.49</v>
      </c>
      <c r="HD28" s="189">
        <v>67.81</v>
      </c>
      <c r="HE28" s="190">
        <v>24751</v>
      </c>
      <c r="HF28" s="121">
        <f t="shared" si="180"/>
        <v>2.2113154801613775E-2</v>
      </c>
      <c r="HG28" s="121">
        <f>(HA28-HA21-HA14)/HA28</f>
        <v>4.1660680936647029E-3</v>
      </c>
      <c r="HH28" s="121">
        <f>(HB28-HB21-HB14)/HB28</f>
        <v>2.0600353148911123E-3</v>
      </c>
      <c r="HJ28" s="31">
        <f>HE28*(HA28-HA21-HA14)/1000000</f>
        <v>0.71777899999999994</v>
      </c>
      <c r="HK28" s="121">
        <f t="shared" si="7"/>
        <v>1.6897949835829377E-4</v>
      </c>
      <c r="HN28" t="s">
        <v>302</v>
      </c>
      <c r="HO28" s="147">
        <f>HK21</f>
        <v>4.0350383840320928E-2</v>
      </c>
      <c r="HP28" s="31">
        <f t="shared" si="32"/>
        <v>44.816087187243831</v>
      </c>
      <c r="HQ28">
        <v>21.22</v>
      </c>
      <c r="HR28">
        <f t="shared" si="133"/>
        <v>0.2122</v>
      </c>
      <c r="HS28">
        <v>0.86499999999999999</v>
      </c>
      <c r="HT28">
        <f t="shared" si="134"/>
        <v>0.18355299999999999</v>
      </c>
      <c r="HU28">
        <v>43</v>
      </c>
      <c r="HV28">
        <f t="shared" si="135"/>
        <v>7.892779</v>
      </c>
      <c r="HW28">
        <v>73.367479939063315</v>
      </c>
      <c r="HX28">
        <f>2.07749454663654/1000</f>
        <v>2.0774945466365403E-3</v>
      </c>
      <c r="HY28">
        <f>2.35970659533889/1000</f>
        <v>2.3597065953388898E-3</v>
      </c>
      <c r="HZ28" s="31">
        <f t="shared" si="33"/>
        <v>353.72347181364717</v>
      </c>
      <c r="IA28" s="31">
        <f t="shared" si="77"/>
        <v>25951.799722263586</v>
      </c>
      <c r="IB28" s="31">
        <f t="shared" si="209"/>
        <v>0.73485858371019597</v>
      </c>
      <c r="IC28" s="31">
        <f t="shared" si="210"/>
        <v>0.8346836093648331</v>
      </c>
      <c r="ID28" s="655">
        <f t="shared" si="35"/>
        <v>26193.566919089153</v>
      </c>
      <c r="IE28">
        <v>2.72</v>
      </c>
      <c r="IF28">
        <f t="shared" si="36"/>
        <v>25867128.467082143</v>
      </c>
      <c r="IG28" s="419">
        <f t="shared" si="136"/>
        <v>25867.128467082144</v>
      </c>
      <c r="IH28">
        <v>630.9</v>
      </c>
      <c r="II28" s="419">
        <f t="shared" si="37"/>
        <v>28274.46940643213</v>
      </c>
      <c r="IK28" s="31"/>
      <c r="IL28" s="31"/>
      <c r="IM28" s="31"/>
      <c r="IN28" s="31"/>
      <c r="IP28" s="657" t="s">
        <v>308</v>
      </c>
      <c r="IQ28" s="658">
        <v>6735</v>
      </c>
      <c r="IR28" s="658">
        <v>3233</v>
      </c>
      <c r="IS28" s="659">
        <v>0.48</v>
      </c>
      <c r="IT28" s="660">
        <v>69.61</v>
      </c>
      <c r="IU28" s="661">
        <v>25409</v>
      </c>
      <c r="IV28" s="121">
        <f t="shared" si="182"/>
        <v>2.1395215858191177E-2</v>
      </c>
      <c r="IW28" s="121">
        <f>(IQ28-IQ21-IQ14)/IQ28</f>
        <v>4.0089086859688193E-3</v>
      </c>
      <c r="IX28" s="121">
        <f>(IR28-IR21-IR14)/IR28</f>
        <v>2.1651716671821837E-3</v>
      </c>
      <c r="IZ28" s="31">
        <f>IU28*(IQ28-IQ21-IQ14)/1000000</f>
        <v>0.68604299999999996</v>
      </c>
      <c r="JA28" s="121">
        <f t="shared" si="9"/>
        <v>1.6150821073369231E-4</v>
      </c>
      <c r="JD28" t="s">
        <v>302</v>
      </c>
      <c r="JE28" s="147">
        <f>JA21</f>
        <v>4.0104480166099216E-2</v>
      </c>
      <c r="JF28" s="31">
        <f t="shared" si="38"/>
        <v>44.054530493058387</v>
      </c>
      <c r="JG28">
        <v>21.22</v>
      </c>
      <c r="JH28">
        <f t="shared" si="137"/>
        <v>0.2122</v>
      </c>
      <c r="JI28">
        <v>0.86499999999999999</v>
      </c>
      <c r="JJ28">
        <f t="shared" si="138"/>
        <v>0.18355299999999999</v>
      </c>
      <c r="JK28">
        <v>43</v>
      </c>
      <c r="JL28">
        <f t="shared" si="139"/>
        <v>7.892779</v>
      </c>
      <c r="JM28">
        <v>73.367479939063315</v>
      </c>
      <c r="JN28">
        <f>2.07749454663654/1000</f>
        <v>2.0774945466365403E-3</v>
      </c>
      <c r="JO28">
        <f>2.35970659533889/1000</f>
        <v>2.3597065953388898E-3</v>
      </c>
      <c r="JP28" s="31">
        <f t="shared" si="39"/>
        <v>347.71267313047088</v>
      </c>
      <c r="JQ28" s="31">
        <f t="shared" si="82"/>
        <v>25510.802570457901</v>
      </c>
      <c r="JR28" s="31">
        <f t="shared" si="211"/>
        <v>0.7223711822249671</v>
      </c>
      <c r="JS28" s="31">
        <f t="shared" si="212"/>
        <v>0.82049988806888774</v>
      </c>
      <c r="JT28" s="655">
        <f t="shared" si="41"/>
        <v>25748.461433898457</v>
      </c>
      <c r="JU28">
        <v>2.72</v>
      </c>
      <c r="JV28">
        <f t="shared" si="42"/>
        <v>25427570.128105413</v>
      </c>
      <c r="JW28" s="419">
        <f t="shared" si="140"/>
        <v>25427.570128105413</v>
      </c>
      <c r="JX28">
        <v>630.9</v>
      </c>
      <c r="JY28" s="419">
        <f t="shared" si="43"/>
        <v>27794.003288070537</v>
      </c>
    </row>
    <row r="29" spans="1:300" ht="16.5" customHeight="1" thickBot="1" x14ac:dyDescent="0.8">
      <c r="A29" s="1161"/>
      <c r="B29" s="341" t="s">
        <v>314</v>
      </c>
      <c r="C29" s="342">
        <v>39411</v>
      </c>
      <c r="D29" s="343">
        <v>41522</v>
      </c>
      <c r="E29" s="344">
        <v>40763</v>
      </c>
      <c r="F29" s="383">
        <v>121696</v>
      </c>
      <c r="G29" s="382">
        <v>716213</v>
      </c>
      <c r="H29" s="1176"/>
      <c r="I29" s="362">
        <v>8.6762899262899269E-3</v>
      </c>
      <c r="J29" s="363">
        <v>9.4598945048413857E-3</v>
      </c>
      <c r="K29" s="364">
        <v>7.5673527512378769E-3</v>
      </c>
      <c r="L29" s="365">
        <v>7.5673527512378769E-3</v>
      </c>
      <c r="M29" s="510">
        <v>3.7060434854939039E-2</v>
      </c>
      <c r="O29" s="888">
        <v>2023</v>
      </c>
      <c r="P29" s="889">
        <f>M257</f>
        <v>4.5999999999999999E-2</v>
      </c>
      <c r="Q29" s="890">
        <f>Q28*(1+P29)</f>
        <v>5.8692258762489455</v>
      </c>
      <c r="R29" s="891">
        <f>Q29*365*0.65</f>
        <v>1392.4738391400624</v>
      </c>
      <c r="S29" s="892">
        <f>Q29/0.16</f>
        <v>36.682661726555907</v>
      </c>
      <c r="T29" s="892">
        <f>S29/0.0194</f>
        <v>1890.8588518843251</v>
      </c>
      <c r="U29" s="891">
        <f>T29*$U$16</f>
        <v>1229.0582537248113</v>
      </c>
      <c r="V29" s="893">
        <f>V28*(1+P29)</f>
        <v>1356185.202590696</v>
      </c>
      <c r="W29" s="893">
        <f>V29/10^6*$W$16</f>
        <v>6.7402404568757586</v>
      </c>
      <c r="X29" s="894">
        <f t="shared" si="144"/>
        <v>1411.4549925802976</v>
      </c>
      <c r="Y29">
        <f>Y28*(1+P29)</f>
        <v>1112157.4166948858</v>
      </c>
      <c r="Z29">
        <f t="shared" si="126"/>
        <v>5.6594133283828878</v>
      </c>
      <c r="AA29" s="25">
        <f t="shared" si="127"/>
        <v>1782.7151984406096</v>
      </c>
      <c r="AB29" s="419">
        <f t="shared" si="128"/>
        <v>1158.7648789863963</v>
      </c>
      <c r="AC29" s="419"/>
      <c r="AD29" s="419"/>
      <c r="AE29" s="419"/>
      <c r="AF29" s="419"/>
      <c r="AG29" s="796" t="s">
        <v>340</v>
      </c>
      <c r="AH29" s="798">
        <v>1367</v>
      </c>
      <c r="AI29" s="796">
        <v>936</v>
      </c>
      <c r="AJ29" s="797">
        <v>0.68</v>
      </c>
      <c r="AK29" s="796">
        <v>37.450000000000003</v>
      </c>
      <c r="AL29" s="803">
        <v>13669</v>
      </c>
      <c r="AM29" s="419"/>
      <c r="AN29" s="902">
        <f t="shared" si="174"/>
        <v>5.0701926821578921E-3</v>
      </c>
      <c r="AO29" s="902">
        <f t="shared" si="174"/>
        <v>3.4716169352595368E-3</v>
      </c>
      <c r="AP29">
        <f t="shared" si="11"/>
        <v>18.685523</v>
      </c>
      <c r="AR29" s="121">
        <f t="shared" si="12"/>
        <v>3.7600528613742283E-3</v>
      </c>
      <c r="AS29" s="419"/>
      <c r="AU29" t="s">
        <v>302</v>
      </c>
      <c r="AV29" s="147">
        <f>AR21</f>
        <v>4.5258512229427547E-2</v>
      </c>
      <c r="AW29" s="31">
        <f t="shared" si="44"/>
        <v>63.880353042981966</v>
      </c>
      <c r="AX29">
        <v>21.22</v>
      </c>
      <c r="AY29">
        <f t="shared" si="45"/>
        <v>0.2122</v>
      </c>
      <c r="AZ29">
        <v>0.86499999999999999</v>
      </c>
      <c r="BA29">
        <f t="shared" si="46"/>
        <v>0.18355299999999999</v>
      </c>
      <c r="BB29">
        <v>43</v>
      </c>
      <c r="BC29">
        <f t="shared" si="47"/>
        <v>7.892779</v>
      </c>
      <c r="BD29">
        <v>73.510933419407394</v>
      </c>
      <c r="BE29">
        <v>8.2398639563294998E-4</v>
      </c>
      <c r="BF29">
        <v>3.54663097127342E-3</v>
      </c>
      <c r="BG29" s="31">
        <f t="shared" si="48"/>
        <v>504.19350901023415</v>
      </c>
      <c r="BH29" s="31">
        <f t="shared" si="89"/>
        <v>37063.735471348708</v>
      </c>
      <c r="BI29" s="31">
        <f t="shared" si="49"/>
        <v>0.4154485921908721</v>
      </c>
      <c r="BJ29" s="31">
        <f t="shared" si="49"/>
        <v>1.7881883145707207</v>
      </c>
      <c r="BK29" s="655">
        <f t="shared" si="109"/>
        <v>37549.237935291298</v>
      </c>
      <c r="BL29">
        <v>2.72</v>
      </c>
      <c r="BM29">
        <f t="shared" si="84"/>
        <v>36870717.690760508</v>
      </c>
      <c r="BN29" s="419">
        <f t="shared" si="50"/>
        <v>36870.71769076051</v>
      </c>
      <c r="BO29">
        <v>630.9</v>
      </c>
      <c r="BP29" s="419">
        <f t="shared" si="51"/>
        <v>40302.114734817325</v>
      </c>
      <c r="BQ29" s="419"/>
      <c r="BR29" s="419"/>
      <c r="BS29" s="419"/>
      <c r="BT29" s="419"/>
      <c r="BU29" s="419"/>
      <c r="BV29" s="419"/>
      <c r="BW29" s="419"/>
      <c r="BX29" s="419"/>
      <c r="BY29" s="419"/>
      <c r="BZ29" s="419"/>
      <c r="CB29" s="1220" t="s">
        <v>122</v>
      </c>
      <c r="CC29" s="1221"/>
      <c r="CD29" s="1221"/>
      <c r="CE29" s="1221"/>
      <c r="CF29" s="1221"/>
      <c r="CG29" s="1222"/>
      <c r="CL29" s="31">
        <f>CG29*CC29/1000000</f>
        <v>0</v>
      </c>
      <c r="CM29" s="121">
        <f t="shared" si="1"/>
        <v>0</v>
      </c>
      <c r="DS29" s="1167" t="s">
        <v>122</v>
      </c>
      <c r="DT29" s="1167"/>
      <c r="DU29" s="1167"/>
      <c r="DV29" s="1167"/>
      <c r="DW29" s="1167"/>
      <c r="DX29" s="1167"/>
      <c r="EC29" s="31">
        <f>DX29*DT29/1000000</f>
        <v>0</v>
      </c>
      <c r="ED29" s="121">
        <f t="shared" si="3"/>
        <v>0</v>
      </c>
      <c r="FJ29" s="648" t="s">
        <v>122</v>
      </c>
      <c r="FK29" s="649"/>
      <c r="FL29" s="649"/>
      <c r="FM29" s="649"/>
      <c r="FN29" s="649"/>
      <c r="FO29" s="650"/>
      <c r="FT29" s="31">
        <f>FO29*FK29/1000000</f>
        <v>0</v>
      </c>
      <c r="FU29" s="121">
        <f t="shared" si="5"/>
        <v>0</v>
      </c>
      <c r="HA29" s="32">
        <f>SUM(HA23:HA28)</f>
        <v>314790</v>
      </c>
      <c r="HJ29" s="31">
        <f t="shared" ref="HJ29:HJ34" si="213">HJ9+HJ16+HJ23</f>
        <v>3482.7799809999997</v>
      </c>
      <c r="HK29" s="121">
        <f t="shared" si="7"/>
        <v>0.81991589901862261</v>
      </c>
      <c r="ID29" s="419"/>
      <c r="IG29" s="419"/>
      <c r="II29" s="419"/>
      <c r="IQ29" s="32">
        <f>SUM(IQ23:IQ28)</f>
        <v>311123</v>
      </c>
      <c r="IZ29" s="31">
        <f t="shared" ref="IZ29:IZ34" si="214">IZ9+IZ16+IZ23</f>
        <v>3450.0118620000003</v>
      </c>
      <c r="JA29" s="121">
        <f t="shared" si="9"/>
        <v>0.81220162998767464</v>
      </c>
      <c r="JT29" s="419"/>
      <c r="JW29" s="419"/>
      <c r="JY29" s="419"/>
    </row>
    <row r="30" spans="1:300" ht="16.5" customHeight="1" thickBot="1" x14ac:dyDescent="0.8">
      <c r="A30" s="1161"/>
      <c r="B30" s="341" t="s">
        <v>316</v>
      </c>
      <c r="C30" s="342">
        <v>35789</v>
      </c>
      <c r="D30" s="343">
        <v>39723</v>
      </c>
      <c r="E30" s="344">
        <v>39963</v>
      </c>
      <c r="F30" s="345">
        <v>115475</v>
      </c>
      <c r="G30" s="382">
        <v>831688</v>
      </c>
      <c r="H30" s="1176"/>
      <c r="I30" s="362">
        <v>3.4573468620819239E-2</v>
      </c>
      <c r="J30" s="363">
        <v>3.1016315666585661E-2</v>
      </c>
      <c r="K30" s="364">
        <v>2.9310196741624051E-2</v>
      </c>
      <c r="L30" s="365">
        <v>2.9310196741624051E-2</v>
      </c>
      <c r="M30" s="510">
        <v>3.5977389651791203E-2</v>
      </c>
      <c r="Q30" s="123">
        <f t="shared" ref="Q30:X30" si="215">(Q25-Q18)/Q18</f>
        <v>0.32831075100692003</v>
      </c>
      <c r="R30" s="123">
        <f t="shared" si="215"/>
        <v>0.32831075100692009</v>
      </c>
      <c r="S30" s="123">
        <f t="shared" si="215"/>
        <v>0.32831075100691998</v>
      </c>
      <c r="T30" s="123">
        <f t="shared" si="215"/>
        <v>0.32831075100691992</v>
      </c>
      <c r="U30" s="123">
        <f t="shared" si="215"/>
        <v>0.32831075100691998</v>
      </c>
      <c r="V30" s="123">
        <f t="shared" si="215"/>
        <v>0.3283107510069197</v>
      </c>
      <c r="W30" s="123">
        <f t="shared" si="215"/>
        <v>0.3283107510069197</v>
      </c>
      <c r="X30" s="123">
        <f t="shared" si="215"/>
        <v>0.32831075100691964</v>
      </c>
      <c r="Y30" s="123"/>
      <c r="Z30" s="123"/>
      <c r="AA30" s="123"/>
      <c r="AB30" s="419"/>
      <c r="AC30" s="123"/>
      <c r="AD30" s="123"/>
      <c r="AE30" s="123"/>
      <c r="AF30" s="123"/>
      <c r="AG30" s="1220" t="s">
        <v>122</v>
      </c>
      <c r="AH30" s="1221"/>
      <c r="AI30" s="1221"/>
      <c r="AJ30" s="1221"/>
      <c r="AK30" s="1221"/>
      <c r="AL30" s="1222"/>
      <c r="AM30" s="123"/>
      <c r="AN30" s="123"/>
      <c r="AO30" s="123"/>
      <c r="AP30">
        <f t="shared" si="11"/>
        <v>0</v>
      </c>
      <c r="AR30" s="121">
        <f t="shared" si="12"/>
        <v>0</v>
      </c>
      <c r="AS30" s="123"/>
      <c r="BK30" s="419"/>
      <c r="BN30" s="419"/>
      <c r="BP30" s="419"/>
      <c r="BQ30" s="419"/>
      <c r="BR30" s="419"/>
      <c r="BS30" s="123"/>
      <c r="BT30" s="123"/>
      <c r="BU30" s="123"/>
      <c r="BV30" s="123"/>
      <c r="BW30" s="123"/>
      <c r="BX30" s="123"/>
      <c r="BY30" s="123"/>
      <c r="BZ30" s="123"/>
      <c r="CB30" s="796" t="s">
        <v>223</v>
      </c>
      <c r="CC30" s="798">
        <v>287550</v>
      </c>
      <c r="CD30" s="798">
        <v>147943</v>
      </c>
      <c r="CE30" s="797">
        <v>0.51</v>
      </c>
      <c r="CF30" s="796">
        <v>38.25</v>
      </c>
      <c r="CG30" s="803">
        <v>13961</v>
      </c>
      <c r="CI30" s="121">
        <f>CC30/$CC$37</f>
        <v>0.85461067735809237</v>
      </c>
      <c r="CK30" s="31">
        <f>CF30*365*CC30/1000000</f>
        <v>4014.5574375000001</v>
      </c>
      <c r="CL30" s="31">
        <f>CL9+CL16+CL23+CL25+CL24+CL26+CL27+CL28</f>
        <v>3980.9432390000002</v>
      </c>
      <c r="CM30" s="121">
        <f t="shared" si="1"/>
        <v>0.81022282557046887</v>
      </c>
      <c r="CQ30" s="147"/>
      <c r="CR30" s="31"/>
      <c r="DB30" s="31">
        <f>SUM(DB11:DB29)</f>
        <v>4615.0652533896127</v>
      </c>
      <c r="DC30" s="31">
        <f>SUM(DC11:DC29)</f>
        <v>337164.77549754735</v>
      </c>
      <c r="DD30" s="31">
        <f>SUM(DD11:DD29)</f>
        <v>12.30347558676303</v>
      </c>
      <c r="DE30" s="31">
        <f>SUM(DE11:DE29)</f>
        <v>9.1866890014605751</v>
      </c>
      <c r="DF30" s="655">
        <f>DC30+DD30*DD8+DE30*DE8</f>
        <v>339943.7453993638</v>
      </c>
      <c r="DH30" s="31">
        <f>SUM(DH11:DH29)</f>
        <v>340184279.52876097</v>
      </c>
      <c r="DI30" s="655">
        <f>SUM(DI11:DI29)</f>
        <v>340184.27952876082</v>
      </c>
      <c r="DK30" s="419">
        <f>SUM(DK11:DK28)</f>
        <v>309416.67930796801</v>
      </c>
      <c r="DS30" s="735" t="s">
        <v>223</v>
      </c>
      <c r="DT30" s="737">
        <v>275259</v>
      </c>
      <c r="DU30" s="737">
        <v>142155</v>
      </c>
      <c r="DV30" s="736">
        <v>0.52</v>
      </c>
      <c r="DW30" s="735">
        <v>34.94</v>
      </c>
      <c r="DX30" s="737">
        <v>12755</v>
      </c>
      <c r="DZ30" s="121">
        <f t="shared" ref="DZ30:DZ35" si="216">DT30/$FK$37</f>
        <v>0.87302327351614684</v>
      </c>
      <c r="EB30" s="31">
        <f t="shared" ref="EB30:EB35" si="217">DW30*365*DT30/1000000</f>
        <v>3510.4055528999997</v>
      </c>
      <c r="EC30" s="31">
        <f>EC9+EC16+EC23+EC25+EC24+EC26+EC27+EC28</f>
        <v>3498.280996</v>
      </c>
      <c r="ED30" s="121">
        <f t="shared" si="3"/>
        <v>0.83945826870845763</v>
      </c>
      <c r="EH30" s="147"/>
      <c r="EI30" s="31"/>
      <c r="ES30" s="31">
        <f>SUM(ES11:ES29)</f>
        <v>3850.9860750025719</v>
      </c>
      <c r="ET30" s="31">
        <f>SUM(ET11:ET29)</f>
        <v>280959.41163631261</v>
      </c>
      <c r="EU30" s="31">
        <f>SUM(EU11:EU29)</f>
        <v>11.016528632072276</v>
      </c>
      <c r="EV30" s="31">
        <f>SUM(EV11:EV29)</f>
        <v>7.362371656963604</v>
      </c>
      <c r="EW30" s="655">
        <f>ET30+EU30*EU8+EV30*EV8</f>
        <v>283218.90292710596</v>
      </c>
      <c r="EY30" s="31">
        <f>SUM(EY11:EY29)</f>
        <v>285573409.5824005</v>
      </c>
      <c r="EZ30" s="655">
        <f>SUM(EZ11:EZ29)</f>
        <v>285573.40958240052</v>
      </c>
      <c r="FB30" s="419">
        <f>SUM(FB11:FB28)</f>
        <v>251148.29988018735</v>
      </c>
      <c r="FJ30" s="637" t="s">
        <v>223</v>
      </c>
      <c r="FK30" s="631">
        <v>269615</v>
      </c>
      <c r="FL30" s="631">
        <v>132157</v>
      </c>
      <c r="FM30" s="630">
        <v>0.49</v>
      </c>
      <c r="FN30" s="629">
        <v>34.700000000000003</v>
      </c>
      <c r="FO30" s="638">
        <v>12665</v>
      </c>
      <c r="FQ30" s="121">
        <f t="shared" ref="FQ30:FQ35" si="218">FK30/$FK$37</f>
        <v>0.85512252056810467</v>
      </c>
      <c r="FS30" s="31">
        <f t="shared" ref="FS30:FS35" si="219">FN30*365*FK30/1000000</f>
        <v>3414.8087825000007</v>
      </c>
      <c r="FT30" s="31">
        <f>FT9+FT16+FT23+FT25+FT24+FT26+FT27+FT28</f>
        <v>3440.7458899999992</v>
      </c>
      <c r="FU30" s="121">
        <f t="shared" si="5"/>
        <v>0.82565196769148863</v>
      </c>
      <c r="FY30" s="147"/>
      <c r="FZ30" s="31"/>
      <c r="GJ30" s="31">
        <f>SUM(GJ11:GJ29)</f>
        <v>3542.7446395298762</v>
      </c>
      <c r="GK30" s="31">
        <f>SUM(GK11:GK29)</f>
        <v>258714.7600263471</v>
      </c>
      <c r="GL30" s="31">
        <f>SUM(GL11:GL29)</f>
        <v>11.161637257670902</v>
      </c>
      <c r="GM30" s="31">
        <f>SUM(GM11:GM29)</f>
        <v>6.7908780127213815</v>
      </c>
      <c r="GN30" s="655">
        <f>GK30+GL30*GL8+GM30*GM8</f>
        <v>260826.86854293305</v>
      </c>
      <c r="GP30" s="31">
        <f>SUM(GP11:GP29)</f>
        <v>260918459.22273242</v>
      </c>
      <c r="GQ30" s="655">
        <f>SUM(GQ11:GQ29)</f>
        <v>260918.4592227324</v>
      </c>
      <c r="GS30" s="419">
        <f>SUM(GS11:GS28)</f>
        <v>232239.47392490745</v>
      </c>
      <c r="GZ30" t="str">
        <f>GZ23</f>
        <v>Fólksbifreiðar</v>
      </c>
      <c r="HA30" s="32">
        <f t="shared" ref="HA30:HB35" si="220">HA23-(HA9+HA16)</f>
        <v>18978</v>
      </c>
      <c r="HB30" s="32">
        <f t="shared" si="220"/>
        <v>2842</v>
      </c>
      <c r="HC30" s="32"/>
      <c r="HD30" s="121">
        <f>HA30/HA23</f>
        <v>7.0334476049291203E-2</v>
      </c>
      <c r="HE30" s="32"/>
      <c r="HJ30" s="31">
        <f t="shared" si="213"/>
        <v>35.946202999999997</v>
      </c>
      <c r="HK30" s="121">
        <f t="shared" si="7"/>
        <v>8.4624534164769311E-3</v>
      </c>
      <c r="HO30" s="147"/>
      <c r="HP30" s="31"/>
      <c r="HZ30" s="31">
        <f>SUM(HZ11:HZ29)</f>
        <v>3980.0688408637734</v>
      </c>
      <c r="IA30" s="31">
        <f>SUM(IA11:IA29)</f>
        <v>290624.83823719341</v>
      </c>
      <c r="IB30" s="31">
        <f>SUM(IB11:IB29)</f>
        <v>12.897300341734784</v>
      </c>
      <c r="IC30" s="31">
        <f>SUM(IC11:IC29)</f>
        <v>7.4182168530598407</v>
      </c>
      <c r="ID30" s="655">
        <f>IA30+IB30*IB8+IC30*IC8</f>
        <v>293034.35098826245</v>
      </c>
      <c r="IF30" s="31">
        <f>SUM(IF11:IF29)</f>
        <v>287299668.89735985</v>
      </c>
      <c r="IG30" s="655">
        <f>SUM(IG11:IG29)</f>
        <v>287299.66889735981</v>
      </c>
      <c r="II30" s="419">
        <f>SUM(II11:II28)</f>
        <v>256994.88302121611</v>
      </c>
      <c r="IK30" s="31"/>
      <c r="IL30" s="31"/>
      <c r="IM30" s="31"/>
      <c r="IN30" s="31"/>
      <c r="IP30" t="str">
        <f>IP23</f>
        <v>Fólksbifreiðar</v>
      </c>
      <c r="IQ30" s="32">
        <f t="shared" ref="IQ30:IR35" si="221">IQ23-(IQ9+IQ16)</f>
        <v>14848</v>
      </c>
      <c r="IR30" s="32">
        <f t="shared" si="221"/>
        <v>-3962</v>
      </c>
      <c r="IS30" s="32"/>
      <c r="IT30" s="121">
        <f>IQ30/IQ23</f>
        <v>5.5530830307087588E-2</v>
      </c>
      <c r="IU30" s="32"/>
      <c r="IZ30" s="31">
        <f t="shared" si="214"/>
        <v>38.655129999999993</v>
      </c>
      <c r="JA30" s="121">
        <f t="shared" si="9"/>
        <v>9.1001888831724418E-3</v>
      </c>
      <c r="JE30" s="147"/>
      <c r="JF30" s="31"/>
      <c r="JP30" s="31">
        <f>SUM(JP11:JP29)</f>
        <v>3853.8370080429886</v>
      </c>
      <c r="JQ30" s="31">
        <f>SUM(JQ11:JQ29)</f>
        <v>281396.90947620035</v>
      </c>
      <c r="JR30" s="31">
        <f>SUM(JR11:JR29)</f>
        <v>12.565879099280922</v>
      </c>
      <c r="JS30" s="31">
        <f>SUM(JS11:JS29)</f>
        <v>7.1656075965829231</v>
      </c>
      <c r="JT30" s="655">
        <f>JQ30+JR30*JR8+JS30*JS8</f>
        <v>283727.5835472261</v>
      </c>
      <c r="JV30" s="31">
        <f>SUM(JV11:JV29)</f>
        <v>281470100.98973465</v>
      </c>
      <c r="JW30" s="655">
        <f>SUM(JW11:JW29)</f>
        <v>281470.10098973464</v>
      </c>
      <c r="JY30" s="419">
        <f>SUM(JY11:JY28)</f>
        <v>252332.40451105786</v>
      </c>
    </row>
    <row r="31" spans="1:300" ht="16.5" customHeight="1" thickBot="1" x14ac:dyDescent="0.8">
      <c r="A31" s="1161"/>
      <c r="B31" s="341" t="s">
        <v>319</v>
      </c>
      <c r="C31" s="342">
        <v>38871</v>
      </c>
      <c r="D31" s="343">
        <v>40298.173510925189</v>
      </c>
      <c r="E31" s="344">
        <v>40485</v>
      </c>
      <c r="F31" s="345">
        <v>119654.17351092519</v>
      </c>
      <c r="G31" s="382">
        <v>951342.17351092515</v>
      </c>
      <c r="H31" s="1176"/>
      <c r="I31" s="362">
        <v>7.9085204584348912E-3</v>
      </c>
      <c r="J31" s="363">
        <v>2.6505455704659498E-2</v>
      </c>
      <c r="K31" s="364">
        <v>9.5811009062556352E-3</v>
      </c>
      <c r="L31" s="365">
        <v>9.5811009062556352E-3</v>
      </c>
      <c r="M31" s="510">
        <v>3.2581784222394994E-2</v>
      </c>
      <c r="AG31" s="796" t="s">
        <v>223</v>
      </c>
      <c r="AH31" s="798">
        <v>299260</v>
      </c>
      <c r="AI31" s="798">
        <v>158913</v>
      </c>
      <c r="AJ31" s="797">
        <v>0.53</v>
      </c>
      <c r="AK31" s="796">
        <v>36.799999999999997</v>
      </c>
      <c r="AL31" s="803">
        <v>13432</v>
      </c>
      <c r="AN31" s="902">
        <f>AH31/$AH$38</f>
        <v>0.85679111314704537</v>
      </c>
      <c r="AP31">
        <f t="shared" si="11"/>
        <v>4019.66032</v>
      </c>
      <c r="AQ31">
        <f>AH31*365*AK31/1000000</f>
        <v>4019.6603199999995</v>
      </c>
      <c r="AR31" s="121">
        <f t="shared" si="12"/>
        <v>0.80886873158265071</v>
      </c>
      <c r="AV31" s="147"/>
      <c r="AW31" s="31"/>
      <c r="BG31" s="31">
        <f>SUM(BG11:BG30)</f>
        <v>4624.3601650346136</v>
      </c>
      <c r="BH31" s="31">
        <f>SUM(BH11:BH30)</f>
        <v>338226.23608351685</v>
      </c>
      <c r="BI31" s="31">
        <f>SUM(BI11:BI30)</f>
        <v>11.676344341005777</v>
      </c>
      <c r="BJ31" s="31">
        <f>SUM(BJ11:BJ30)</f>
        <v>9.9824963991884861</v>
      </c>
      <c r="BK31" s="655">
        <f>BH31+BI31*BI8+BJ31*BJ8</f>
        <v>341198.53527084994</v>
      </c>
      <c r="BM31" s="31">
        <f>SUM(BM11:BM29)</f>
        <v>342170469.42636436</v>
      </c>
      <c r="BN31" s="655">
        <f>SUM(BN11:BN30)</f>
        <v>342170.46942636441</v>
      </c>
      <c r="BP31" s="419">
        <f>SUM(BP11:BP29)</f>
        <v>311239.60182758537</v>
      </c>
      <c r="BQ31" s="419"/>
      <c r="BR31" s="419"/>
      <c r="CB31" s="795" t="s">
        <v>294</v>
      </c>
      <c r="CC31" s="793">
        <v>1313</v>
      </c>
      <c r="CD31" s="795">
        <v>744</v>
      </c>
      <c r="CE31" s="794">
        <v>0.56999999999999995</v>
      </c>
      <c r="CF31" s="795">
        <v>68.709999999999994</v>
      </c>
      <c r="CG31" s="802">
        <v>25080</v>
      </c>
      <c r="CI31" s="121">
        <f t="shared" ref="CI31:CI35" si="222">CC31/$CC$37</f>
        <v>3.9022911471784921E-3</v>
      </c>
      <c r="CK31" s="31">
        <f t="shared" ref="CK31:CK35" si="223">CF31*365*CC31/1000000</f>
        <v>32.928923949999998</v>
      </c>
      <c r="CL31" s="31">
        <f>CL11+CL17</f>
        <v>31.682828000000001</v>
      </c>
      <c r="CM31" s="121">
        <f t="shared" si="1"/>
        <v>6.4482583355474883E-3</v>
      </c>
      <c r="DS31" s="732" t="s">
        <v>294</v>
      </c>
      <c r="DT31" s="733">
        <v>1359</v>
      </c>
      <c r="DU31" s="732">
        <v>677</v>
      </c>
      <c r="DV31" s="734">
        <v>0.5</v>
      </c>
      <c r="DW31" s="732">
        <v>43.75</v>
      </c>
      <c r="DX31" s="733">
        <v>15969</v>
      </c>
      <c r="DZ31" s="121">
        <f t="shared" si="216"/>
        <v>4.3102628023368667E-3</v>
      </c>
      <c r="EB31" s="31">
        <f t="shared" si="217"/>
        <v>21.701531249999999</v>
      </c>
      <c r="EC31" s="31">
        <f>EC11+EC17</f>
        <v>20.547265000000003</v>
      </c>
      <c r="ED31" s="121">
        <f t="shared" si="3"/>
        <v>4.9305849139380823E-3</v>
      </c>
      <c r="FJ31" s="635" t="s">
        <v>294</v>
      </c>
      <c r="FK31" s="626">
        <v>1356</v>
      </c>
      <c r="FL31" s="628">
        <v>608</v>
      </c>
      <c r="FM31" s="627">
        <v>0.45</v>
      </c>
      <c r="FN31" s="628">
        <v>56.72</v>
      </c>
      <c r="FO31" s="636">
        <v>20704</v>
      </c>
      <c r="FQ31" s="121">
        <f>FK31/$FK$37</f>
        <v>4.3007478734133856E-3</v>
      </c>
      <c r="FS31" s="31">
        <f t="shared" si="219"/>
        <v>28.072996800000002</v>
      </c>
      <c r="FT31" s="31">
        <f>FT11+FT17</f>
        <v>27.639108</v>
      </c>
      <c r="FU31" s="121">
        <f t="shared" si="5"/>
        <v>6.6323653751243945E-3</v>
      </c>
      <c r="GZ31" t="str">
        <f>GZ24</f>
        <v>Hópbifreiðar ≤5t</v>
      </c>
      <c r="HA31" s="32">
        <f t="shared" si="220"/>
        <v>-12</v>
      </c>
      <c r="HB31" s="32">
        <f t="shared" si="220"/>
        <v>0</v>
      </c>
      <c r="HC31" s="32"/>
      <c r="HD31" s="121">
        <f>HA31/HA24</f>
        <v>-8.658008658008658E-3</v>
      </c>
      <c r="HE31" s="32"/>
      <c r="HJ31" s="31">
        <f t="shared" si="213"/>
        <v>83.429393000000005</v>
      </c>
      <c r="HK31" s="121">
        <f t="shared" si="7"/>
        <v>1.9640943768871683E-2</v>
      </c>
      <c r="ID31" s="419"/>
      <c r="IG31" s="419"/>
      <c r="II31" s="419"/>
      <c r="IP31" t="str">
        <f>IP24</f>
        <v>Hópbifreiðar ≤5t</v>
      </c>
      <c r="IQ31" s="32">
        <f t="shared" si="221"/>
        <v>4</v>
      </c>
      <c r="IR31" s="32">
        <f t="shared" si="221"/>
        <v>0</v>
      </c>
      <c r="IS31" s="32"/>
      <c r="IT31" s="121">
        <f>IQ31/IQ24</f>
        <v>2.7624309392265192E-3</v>
      </c>
      <c r="IU31" s="32"/>
      <c r="IZ31" s="31">
        <f t="shared" si="214"/>
        <v>81.859247000000011</v>
      </c>
      <c r="JA31" s="121">
        <f t="shared" si="9"/>
        <v>1.9271300071536875E-2</v>
      </c>
      <c r="JT31" s="419"/>
      <c r="JW31" s="419"/>
      <c r="JY31" s="419"/>
    </row>
    <row r="32" spans="1:300" ht="16.5" customHeight="1" thickBot="1" x14ac:dyDescent="0.8">
      <c r="A32" s="1161"/>
      <c r="B32" s="341" t="s">
        <v>321</v>
      </c>
      <c r="C32" s="342">
        <v>42702.306473651028</v>
      </c>
      <c r="D32" s="343">
        <v>41641</v>
      </c>
      <c r="E32" s="344">
        <v>41129</v>
      </c>
      <c r="F32" s="345">
        <v>125472.30647365103</v>
      </c>
      <c r="G32" s="382">
        <v>1076814.4799845761</v>
      </c>
      <c r="H32" s="1176"/>
      <c r="I32" s="362">
        <v>3.5107055646750082E-2</v>
      </c>
      <c r="J32" s="363">
        <v>5.5835087539148738E-2</v>
      </c>
      <c r="K32" s="364">
        <v>3.3612647239118054E-2</v>
      </c>
      <c r="L32" s="365">
        <v>3.3612647239118054E-2</v>
      </c>
      <c r="M32" s="510">
        <v>3.2701796332402111E-2</v>
      </c>
      <c r="O32" s="206">
        <v>2012</v>
      </c>
      <c r="AG32" s="795" t="s">
        <v>294</v>
      </c>
      <c r="AH32" s="793">
        <v>1282</v>
      </c>
      <c r="AI32" s="795">
        <v>771</v>
      </c>
      <c r="AJ32" s="794">
        <v>0.6</v>
      </c>
      <c r="AK32" s="795">
        <v>57.4</v>
      </c>
      <c r="AL32" s="802">
        <v>20951</v>
      </c>
      <c r="AN32" s="902">
        <f t="shared" ref="AN32:AN36" si="224">AH32/$AH$38</f>
        <v>3.6704076958314247E-3</v>
      </c>
      <c r="AP32">
        <f t="shared" si="11"/>
        <v>26.859182000000001</v>
      </c>
      <c r="AQ32">
        <f t="shared" ref="AQ32:AQ36" si="225">AH32*365*AK32/1000000</f>
        <v>26.859182000000001</v>
      </c>
      <c r="AR32" s="121">
        <f t="shared" si="12"/>
        <v>5.4048229815815791E-3</v>
      </c>
      <c r="AV32" s="147">
        <f>AV13+AV15+AV16+AV18+AV17</f>
        <v>0.18354506368073872</v>
      </c>
      <c r="AW32" s="147">
        <f>AV32/AV33</f>
        <v>0.22874599025893586</v>
      </c>
      <c r="BK32" s="419"/>
      <c r="BN32" s="419"/>
      <c r="BP32" s="419"/>
      <c r="BQ32" s="419"/>
      <c r="BR32" s="419"/>
      <c r="CB32" s="796" t="s">
        <v>297</v>
      </c>
      <c r="CC32" s="798">
        <v>1848</v>
      </c>
      <c r="CD32" s="796">
        <v>1012</v>
      </c>
      <c r="CE32" s="797">
        <v>0.55000000000000004</v>
      </c>
      <c r="CF32" s="796">
        <v>119.66</v>
      </c>
      <c r="CG32" s="803">
        <v>43678</v>
      </c>
      <c r="CI32" s="121">
        <f t="shared" si="222"/>
        <v>5.4923336176586849E-3</v>
      </c>
      <c r="CK32" s="31">
        <f t="shared" si="223"/>
        <v>80.713063200000008</v>
      </c>
      <c r="CL32" s="31">
        <f>CL12+CL18</f>
        <v>142.71684499999998</v>
      </c>
      <c r="CM32" s="121">
        <f t="shared" si="1"/>
        <v>2.9046494378414979E-2</v>
      </c>
      <c r="DS32" s="735" t="s">
        <v>297</v>
      </c>
      <c r="DT32" s="737">
        <v>1772</v>
      </c>
      <c r="DU32" s="735">
        <v>878</v>
      </c>
      <c r="DV32" s="736">
        <v>0.5</v>
      </c>
      <c r="DW32" s="735">
        <v>82.85</v>
      </c>
      <c r="DX32" s="737">
        <v>30242</v>
      </c>
      <c r="DZ32" s="121">
        <f t="shared" si="216"/>
        <v>5.6201513508027431E-3</v>
      </c>
      <c r="EB32" s="31">
        <f t="shared" si="217"/>
        <v>53.585722999999994</v>
      </c>
      <c r="EC32" s="31">
        <f>EC12+EC18</f>
        <v>110.647164</v>
      </c>
      <c r="ED32" s="121">
        <f t="shared" si="3"/>
        <v>2.6551233830314293E-2</v>
      </c>
      <c r="EJ32" t="s">
        <v>298</v>
      </c>
      <c r="EK32" t="s">
        <v>264</v>
      </c>
      <c r="EL32">
        <v>70.9769741921898</v>
      </c>
      <c r="EM32">
        <v>7.3169105356480999E-3</v>
      </c>
      <c r="EN32">
        <v>6.0998104818480998E-4</v>
      </c>
      <c r="FJ32" s="637" t="s">
        <v>297</v>
      </c>
      <c r="FK32" s="631">
        <v>1749</v>
      </c>
      <c r="FL32" s="629">
        <v>795</v>
      </c>
      <c r="FM32" s="630">
        <v>0.45</v>
      </c>
      <c r="FN32" s="629">
        <v>113.34</v>
      </c>
      <c r="FO32" s="638">
        <v>41368</v>
      </c>
      <c r="FQ32" s="121">
        <f t="shared" si="218"/>
        <v>5.5472035623893891E-3</v>
      </c>
      <c r="FS32" s="31">
        <f t="shared" si="219"/>
        <v>72.354555899999994</v>
      </c>
      <c r="FT32" s="31">
        <f>FT12+FT18</f>
        <v>132.90707400000002</v>
      </c>
      <c r="FU32" s="121">
        <f t="shared" si="5"/>
        <v>3.1892790306644332E-2</v>
      </c>
      <c r="GZ32" t="str">
        <f>GZ25</f>
        <v>Hópbifreiðar &gt;5t</v>
      </c>
      <c r="HA32" s="32">
        <f t="shared" si="220"/>
        <v>21</v>
      </c>
      <c r="HB32" s="32">
        <f t="shared" si="220"/>
        <v>1</v>
      </c>
      <c r="HC32" s="32"/>
      <c r="HD32" s="121">
        <f>HA32/HA25</f>
        <v>1.171875E-2</v>
      </c>
      <c r="HE32" s="32"/>
      <c r="HJ32" s="31">
        <f t="shared" si="213"/>
        <v>390.29391499999997</v>
      </c>
      <c r="HK32" s="121">
        <f t="shared" si="7"/>
        <v>9.1882975078672616E-2</v>
      </c>
      <c r="ID32" s="419"/>
      <c r="IG32" s="419"/>
      <c r="II32" s="419"/>
      <c r="IP32" t="str">
        <f>IP25</f>
        <v>Hópbifreiðar &gt;5t</v>
      </c>
      <c r="IQ32" s="32">
        <f t="shared" si="221"/>
        <v>21</v>
      </c>
      <c r="IR32" s="32">
        <f t="shared" si="221"/>
        <v>1</v>
      </c>
      <c r="IS32" s="32"/>
      <c r="IT32" s="121">
        <f>IQ32/IQ25</f>
        <v>1.2E-2</v>
      </c>
      <c r="IU32" s="32"/>
      <c r="IZ32" s="31">
        <f t="shared" si="214"/>
        <v>376.86854900000003</v>
      </c>
      <c r="JA32" s="121">
        <f t="shared" si="9"/>
        <v>8.8722376047555118E-2</v>
      </c>
      <c r="JT32" s="419"/>
      <c r="JW32" s="419"/>
      <c r="JY32" s="419"/>
    </row>
    <row r="33" spans="1:285" ht="16.5" customHeight="1" thickBot="1" x14ac:dyDescent="0.8">
      <c r="A33" s="1161"/>
      <c r="B33" s="341" t="s">
        <v>323</v>
      </c>
      <c r="C33" s="342">
        <v>43343.136815972022</v>
      </c>
      <c r="D33" s="343">
        <v>42356</v>
      </c>
      <c r="E33" s="344">
        <v>40267</v>
      </c>
      <c r="F33" s="345">
        <v>125966.13681597202</v>
      </c>
      <c r="G33" s="382">
        <v>1202780.616800548</v>
      </c>
      <c r="H33" s="1176"/>
      <c r="I33" s="362">
        <v>9.8573954883459783E-2</v>
      </c>
      <c r="J33" s="363">
        <v>8.2009942227596402E-2</v>
      </c>
      <c r="K33" s="364">
        <v>8.522267532756711E-2</v>
      </c>
      <c r="L33" s="365">
        <v>8.522267532756711E-2</v>
      </c>
      <c r="M33" s="510">
        <v>3.7962723298757828E-2</v>
      </c>
      <c r="O33" s="206">
        <v>2013</v>
      </c>
      <c r="R33">
        <f>1/S33</f>
        <v>0.88264369439344725</v>
      </c>
      <c r="S33">
        <f t="shared" ref="S33:S41" si="226">R18/U18</f>
        <v>1.13296</v>
      </c>
      <c r="T33">
        <f t="shared" ref="T33:T41" si="227">T18/Q18</f>
        <v>322.16494845360825</v>
      </c>
      <c r="U33">
        <f>1/T33</f>
        <v>3.104E-3</v>
      </c>
      <c r="AG33" s="796" t="s">
        <v>297</v>
      </c>
      <c r="AH33" s="798">
        <v>1949</v>
      </c>
      <c r="AI33" s="796">
        <v>1163</v>
      </c>
      <c r="AJ33" s="797">
        <v>0.6</v>
      </c>
      <c r="AK33" s="796">
        <v>124.2</v>
      </c>
      <c r="AL33" s="803">
        <v>45333</v>
      </c>
      <c r="AN33" s="902">
        <f t="shared" si="224"/>
        <v>5.5800503893724237E-3</v>
      </c>
      <c r="AP33">
        <f t="shared" si="11"/>
        <v>88.354016999999999</v>
      </c>
      <c r="AQ33">
        <f t="shared" si="225"/>
        <v>88.354016999999999</v>
      </c>
      <c r="AR33" s="121">
        <f t="shared" si="12"/>
        <v>1.7779313666240824E-2</v>
      </c>
      <c r="AV33" s="147">
        <f>SUM(AV11:AV18)</f>
        <v>0.80239685719941756</v>
      </c>
      <c r="AW33" s="147">
        <f>AV13/AV33</f>
        <v>9.4888473414759394E-2</v>
      </c>
      <c r="BK33" s="419"/>
      <c r="BN33" s="419"/>
      <c r="BP33" s="419"/>
      <c r="BQ33" s="419"/>
      <c r="BR33" s="419"/>
      <c r="CB33" s="795" t="s">
        <v>301</v>
      </c>
      <c r="CC33" s="793">
        <v>31887</v>
      </c>
      <c r="CD33" s="793">
        <v>17763</v>
      </c>
      <c r="CE33" s="794">
        <v>0.56000000000000005</v>
      </c>
      <c r="CF33" s="795">
        <v>41.49</v>
      </c>
      <c r="CG33" s="802">
        <v>15143</v>
      </c>
      <c r="CI33" s="121">
        <f t="shared" si="222"/>
        <v>9.476950328262039E-2</v>
      </c>
      <c r="CK33" s="31">
        <f t="shared" si="223"/>
        <v>482.89194494999998</v>
      </c>
      <c r="CL33" s="31">
        <f>CL13+CL19</f>
        <v>407.12562700000001</v>
      </c>
      <c r="CM33" s="121">
        <f t="shared" si="1"/>
        <v>8.2860381589602655E-2</v>
      </c>
      <c r="DB33" s="95">
        <f>DB11+DB14+DB15+DB18+DB19+DB21</f>
        <v>1480.6616022957946</v>
      </c>
      <c r="DC33" s="95">
        <f>DC11+DC14+DC15+DC18+DC19+DC21</f>
        <v>105092.88033351499</v>
      </c>
      <c r="DD33" s="95">
        <f>DD11+DD14+DD15+DD18+DD19+DD21</f>
        <v>10.833868477567695</v>
      </c>
      <c r="DE33" s="95">
        <f>DE11+DE14+DE15+DE18+DE19+DE21</f>
        <v>0.90317551617538894</v>
      </c>
      <c r="DF33" s="95">
        <f>DF11+DF14+DF15+DF18+DF19+DF21</f>
        <v>105635.57016267339</v>
      </c>
      <c r="DS33" s="732" t="s">
        <v>301</v>
      </c>
      <c r="DT33" s="733">
        <v>30309</v>
      </c>
      <c r="DU33" s="733">
        <v>16714</v>
      </c>
      <c r="DV33" s="734">
        <v>0.55000000000000004</v>
      </c>
      <c r="DW33" s="732">
        <v>35.94</v>
      </c>
      <c r="DX33" s="733">
        <v>13118</v>
      </c>
      <c r="DZ33" s="121">
        <f t="shared" si="216"/>
        <v>9.6129326913927948E-2</v>
      </c>
      <c r="EB33" s="31">
        <f t="shared" si="217"/>
        <v>397.59649289999999</v>
      </c>
      <c r="EC33" s="31">
        <f>EC13+EC19</f>
        <v>334.79102800000004</v>
      </c>
      <c r="ED33" s="121">
        <f t="shared" si="3"/>
        <v>8.0337484914835236E-2</v>
      </c>
      <c r="EK33" t="s">
        <v>302</v>
      </c>
      <c r="EL33">
        <v>74.054734089485606</v>
      </c>
      <c r="EM33">
        <v>1.1457692289250001E-4</v>
      </c>
      <c r="EN33">
        <v>2.5659043229536902E-3</v>
      </c>
      <c r="ES33" s="95">
        <f>ES11+ES14+ES15+ES18+ES19+ES21</f>
        <v>1353.8022015901709</v>
      </c>
      <c r="ET33" s="95">
        <f>ET11+ET14+ET15+ET18+ET19+ET21</f>
        <v>96088.783923595285</v>
      </c>
      <c r="EU33" s="95">
        <f>EU11+EU14+EU15+EU18+EU19+EU21</f>
        <v>9.9056495919987135</v>
      </c>
      <c r="EV33" s="95">
        <f>EV11+EV14+EV15+EV18+EV19+EV21</f>
        <v>0.82579368596087566</v>
      </c>
      <c r="EW33" s="95">
        <f>EW11+EW14+EW15+EW18+EW19+EW21</f>
        <v>96584.977438950897</v>
      </c>
      <c r="FJ33" s="635" t="s">
        <v>301</v>
      </c>
      <c r="FK33" s="626">
        <v>29461</v>
      </c>
      <c r="FL33" s="626">
        <v>15234</v>
      </c>
      <c r="FM33" s="627">
        <v>0.52</v>
      </c>
      <c r="FN33" s="628">
        <v>36.14</v>
      </c>
      <c r="FO33" s="636">
        <v>13192</v>
      </c>
      <c r="FQ33" s="121">
        <f>FK33/$FK$37</f>
        <v>9.3439773671557341E-2</v>
      </c>
      <c r="FS33" s="31">
        <f t="shared" si="219"/>
        <v>388.62299710000002</v>
      </c>
      <c r="FT33" s="31">
        <f>FT13+FT19</f>
        <v>323.39868100000001</v>
      </c>
      <c r="FU33" s="121">
        <f t="shared" si="5"/>
        <v>7.7603742285217728E-2</v>
      </c>
      <c r="GJ33" s="95">
        <f>GJ11+GJ14+GJ15+GJ18+GJ19+GJ21</f>
        <v>1256.2849037569183</v>
      </c>
      <c r="GK33" s="95">
        <f>GK11+GK14+GK15+GK18+GK19+GK21</f>
        <v>90975.807361163374</v>
      </c>
      <c r="GL33" s="95">
        <f>GL11+GL14+GL15+GL18+GL19+GL21</f>
        <v>9.8976736877686236</v>
      </c>
      <c r="GM33" s="95">
        <f>GM11+GM14+GM15+GM18+GM19+GM21</f>
        <v>1.1748906369684338</v>
      </c>
      <c r="GN33" s="95">
        <f>GN11+GN14+GN15+GN18+GN19+GN21</f>
        <v>91564.288243217539</v>
      </c>
      <c r="GZ33" t="str">
        <f>GZ26</f>
        <v>Sendibifreiðar</v>
      </c>
      <c r="HA33" s="32">
        <f t="shared" si="220"/>
        <v>448</v>
      </c>
      <c r="HB33" s="32">
        <f t="shared" si="220"/>
        <v>139</v>
      </c>
      <c r="HC33" s="32"/>
      <c r="HD33" s="121">
        <f>HA33/HA26</f>
        <v>1.5480839006185425E-2</v>
      </c>
      <c r="HE33" s="32"/>
      <c r="HJ33" s="31">
        <f t="shared" si="213"/>
        <v>83.163577000000004</v>
      </c>
      <c r="HK33" s="121">
        <f t="shared" si="7"/>
        <v>1.957836537867692E-2</v>
      </c>
      <c r="ID33" s="419"/>
      <c r="IG33" s="419"/>
      <c r="II33" s="419"/>
      <c r="IP33" t="str">
        <f>IP26</f>
        <v>Sendibifreiðar</v>
      </c>
      <c r="IQ33" s="32">
        <f t="shared" si="221"/>
        <v>376</v>
      </c>
      <c r="IR33" s="32">
        <f t="shared" si="221"/>
        <v>133</v>
      </c>
      <c r="IS33" s="32"/>
      <c r="IT33" s="121">
        <f>IQ33/IQ26</f>
        <v>1.340033500837521E-2</v>
      </c>
      <c r="IU33" s="32"/>
      <c r="IZ33" s="31">
        <f t="shared" si="214"/>
        <v>82.855469999999983</v>
      </c>
      <c r="JA33" s="121">
        <f t="shared" si="9"/>
        <v>1.9505830843254898E-2</v>
      </c>
      <c r="JT33" s="419"/>
      <c r="JW33" s="419"/>
      <c r="JY33" s="419"/>
    </row>
    <row r="34" spans="1:285" ht="16.5" customHeight="1" thickBot="1" x14ac:dyDescent="0.8">
      <c r="A34" s="1161"/>
      <c r="B34" s="511" t="s">
        <v>326</v>
      </c>
      <c r="C34" s="342">
        <v>43214</v>
      </c>
      <c r="D34" s="343">
        <v>41768</v>
      </c>
      <c r="E34" s="344">
        <v>38748.857885665217</v>
      </c>
      <c r="F34" s="345">
        <v>123730.85788566522</v>
      </c>
      <c r="G34" s="382">
        <v>1326511.4746862133</v>
      </c>
      <c r="H34" s="1176"/>
      <c r="I34" s="362">
        <v>8.9996468748423541E-2</v>
      </c>
      <c r="J34" s="363">
        <v>4.4415457417999959E-2</v>
      </c>
      <c r="K34" s="364">
        <v>5.0364674151218258E-2</v>
      </c>
      <c r="L34" s="365">
        <v>5.0364674151218258E-2</v>
      </c>
      <c r="M34" s="510">
        <v>3.9107121675610257E-2</v>
      </c>
      <c r="O34" s="206">
        <v>2014</v>
      </c>
      <c r="R34">
        <f t="shared" ref="R34:R42" si="228">1/S34</f>
        <v>0.88264369439344714</v>
      </c>
      <c r="S34">
        <f t="shared" si="226"/>
        <v>1.1329600000000002</v>
      </c>
      <c r="T34">
        <f t="shared" si="227"/>
        <v>322.16494845360825</v>
      </c>
      <c r="U34">
        <f t="shared" ref="U34:U42" si="229">1/T34</f>
        <v>3.104E-3</v>
      </c>
      <c r="AG34" s="795" t="s">
        <v>301</v>
      </c>
      <c r="AH34" s="793">
        <v>32465</v>
      </c>
      <c r="AI34" s="793">
        <v>19312</v>
      </c>
      <c r="AJ34" s="794">
        <v>0.59</v>
      </c>
      <c r="AK34" s="795">
        <v>42.37</v>
      </c>
      <c r="AL34" s="802">
        <v>15465</v>
      </c>
      <c r="AN34" s="902">
        <f t="shared" si="224"/>
        <v>9.2948350893266141E-2</v>
      </c>
      <c r="AP34">
        <f t="shared" si="11"/>
        <v>502.07122500000003</v>
      </c>
      <c r="AQ34">
        <f t="shared" si="225"/>
        <v>502.07284824999994</v>
      </c>
      <c r="AR34" s="121">
        <f t="shared" si="12"/>
        <v>0.1010308540025834</v>
      </c>
      <c r="BG34" s="95">
        <f>BG11+BG15+BG16+BG19+BG20+BG22</f>
        <v>1445.8339979518714</v>
      </c>
      <c r="BH34" s="95">
        <f>BH11+BH15+BH16+BH19+BH20+BH22</f>
        <v>104584.40584564926</v>
      </c>
      <c r="BI34" s="95">
        <f>BI11+BI15+BI16+BI19+BI20+BI22</f>
        <v>10.357544080355874</v>
      </c>
      <c r="BJ34" s="95">
        <f>BJ11+BJ15+BJ16+BJ19+BJ20+BJ22</f>
        <v>0.69242458947602459</v>
      </c>
      <c r="BK34" s="95">
        <f>BK11+BK15+BK16+BK19+BK20+BK22</f>
        <v>105057.90959611039</v>
      </c>
      <c r="BN34" s="419"/>
      <c r="BP34" s="419"/>
      <c r="BQ34" s="419"/>
      <c r="BR34" s="419"/>
      <c r="CB34" s="796" t="s">
        <v>305</v>
      </c>
      <c r="CC34" s="798">
        <v>6364</v>
      </c>
      <c r="CD34" s="798">
        <v>3550</v>
      </c>
      <c r="CE34" s="797">
        <v>0.56000000000000005</v>
      </c>
      <c r="CF34" s="796">
        <v>44.68</v>
      </c>
      <c r="CG34" s="803">
        <v>16307</v>
      </c>
      <c r="CI34" s="121">
        <f t="shared" si="222"/>
        <v>1.891407529371205E-2</v>
      </c>
      <c r="CK34" s="31">
        <f t="shared" si="223"/>
        <v>103.78538480000002</v>
      </c>
      <c r="CL34" s="31">
        <f>CL14+CL20</f>
        <v>96.765279000000007</v>
      </c>
      <c r="CM34" s="121">
        <f t="shared" si="1"/>
        <v>1.9694186292439814E-2</v>
      </c>
      <c r="DB34" s="95">
        <f>DB12+DB17+DB16+DB20+DB22</f>
        <v>2188.7925940894593</v>
      </c>
      <c r="DC34" s="95">
        <f>DC12+DC17+DC16+DC20+DC22</f>
        <v>162090.45353233028</v>
      </c>
      <c r="DD34" s="95">
        <f>DD12+DD17+DD16+DD20+DD22</f>
        <v>0.25078512028066302</v>
      </c>
      <c r="DE34" s="95">
        <f>DE12+DE17+DE16+DE20+DE22</f>
        <v>5.616232379223165</v>
      </c>
      <c r="DF34" s="95">
        <f>DF12+DF17+DF16+DF20+DF22</f>
        <v>163585.77709619229</v>
      </c>
      <c r="DS34" s="735" t="s">
        <v>305</v>
      </c>
      <c r="DT34" s="737">
        <v>6222</v>
      </c>
      <c r="DU34" s="737">
        <v>3180</v>
      </c>
      <c r="DV34" s="736">
        <v>0.51</v>
      </c>
      <c r="DW34" s="735">
        <v>38.26</v>
      </c>
      <c r="DX34" s="737">
        <v>13966</v>
      </c>
      <c r="DZ34" s="121">
        <f t="shared" si="216"/>
        <v>1.9733962587299474E-2</v>
      </c>
      <c r="EB34" s="31">
        <f t="shared" si="217"/>
        <v>86.889607799999993</v>
      </c>
      <c r="EC34" s="31">
        <f>EC14+EC20</f>
        <v>79.791348999999997</v>
      </c>
      <c r="ED34" s="121">
        <f t="shared" si="3"/>
        <v>1.9146977548698985E-2</v>
      </c>
      <c r="EK34" t="s">
        <v>334</v>
      </c>
      <c r="EL34">
        <v>70.9769741921898</v>
      </c>
      <c r="EM34">
        <v>7.3169105356480999E-3</v>
      </c>
      <c r="EN34">
        <v>6.0998104818480998E-4</v>
      </c>
      <c r="ES34" s="95">
        <f>ES12+ES17+ES16+ES20+ES22</f>
        <v>1841.4330888779591</v>
      </c>
      <c r="ET34" s="95">
        <f>ET12+ET17+ET16+ET20+ET22</f>
        <v>136366.83774043736</v>
      </c>
      <c r="EU34" s="95">
        <f>EU12+EU17+EU16+EU20+EU22</f>
        <v>0.21098573703606802</v>
      </c>
      <c r="EV34" s="95">
        <f>EV12+EV17+EV16+EV20+EV22</f>
        <v>4.7249411231819227</v>
      </c>
      <c r="EW34" s="95">
        <f>EW12+EW17+EW16+EW20+EW22</f>
        <v>137624.85473871758</v>
      </c>
      <c r="FJ34" s="637" t="s">
        <v>305</v>
      </c>
      <c r="FK34" s="631">
        <v>6073</v>
      </c>
      <c r="FL34" s="631">
        <v>2918</v>
      </c>
      <c r="FM34" s="630">
        <v>0.48</v>
      </c>
      <c r="FN34" s="629">
        <v>38.24</v>
      </c>
      <c r="FO34" s="638">
        <v>13959</v>
      </c>
      <c r="FQ34" s="121">
        <f t="shared" si="218"/>
        <v>1.9261387784099918E-2</v>
      </c>
      <c r="FS34" s="31">
        <f t="shared" si="219"/>
        <v>84.764504799999997</v>
      </c>
      <c r="FT34" s="31">
        <f>FT14+FT20</f>
        <v>77.861462000000003</v>
      </c>
      <c r="FU34" s="121">
        <f t="shared" si="5"/>
        <v>1.8683875927738472E-2</v>
      </c>
      <c r="GJ34" s="95">
        <f>GJ12+GJ17+GJ16+GJ20+GJ22</f>
        <v>1677.7708952145088</v>
      </c>
      <c r="GK34" s="95">
        <f>GK12+GK17+GK16+GK20+GK22</f>
        <v>123094.08547612155</v>
      </c>
      <c r="GL34" s="95">
        <f>GL12+GL17+GL16+GL20+GL22</f>
        <v>0.11134994545781331</v>
      </c>
      <c r="GM34" s="95">
        <f>GM12+GM17+GM16+GM20+GM22</f>
        <v>4.2390166655932227</v>
      </c>
      <c r="GN34" s="95">
        <f>GN12+GN17+GN16+GN20+GN22</f>
        <v>124220.54269097657</v>
      </c>
      <c r="GZ34" t="str">
        <f t="shared" ref="GZ34:GZ35" si="230">GZ27</f>
        <v>Vörubifreiðar ≤12t</v>
      </c>
      <c r="HA34" s="32">
        <f t="shared" si="220"/>
        <v>2</v>
      </c>
      <c r="HB34" s="32">
        <f t="shared" si="220"/>
        <v>0</v>
      </c>
      <c r="HC34" s="32"/>
      <c r="HD34" s="121">
        <f t="shared" ref="HD34:HD35" si="231">HA34/HA27</f>
        <v>3.3973161202649905E-4</v>
      </c>
      <c r="HE34" s="32"/>
      <c r="HJ34" s="31">
        <f t="shared" si="213"/>
        <v>172.11524700000001</v>
      </c>
      <c r="HK34" s="121">
        <f t="shared" si="7"/>
        <v>4.0519363338679219E-2</v>
      </c>
      <c r="ID34" s="419"/>
      <c r="IG34" s="419"/>
      <c r="II34" s="419"/>
      <c r="IP34" t="str">
        <f t="shared" ref="IP34:IP35" si="232">IP27</f>
        <v>Vörubifreiðar ≤12t</v>
      </c>
      <c r="IQ34" s="32">
        <f t="shared" si="221"/>
        <v>3</v>
      </c>
      <c r="IR34" s="32">
        <f t="shared" si="221"/>
        <v>0</v>
      </c>
      <c r="IS34" s="32"/>
      <c r="IT34" s="121">
        <f t="shared" ref="IT34:IT35" si="233">IQ34/IQ27</f>
        <v>5.2192066805845506E-4</v>
      </c>
      <c r="IU34" s="32"/>
      <c r="IZ34" s="31">
        <f t="shared" si="214"/>
        <v>171.054135</v>
      </c>
      <c r="JA34" s="121">
        <f t="shared" si="9"/>
        <v>4.0269556401638755E-2</v>
      </c>
      <c r="JT34" s="419"/>
      <c r="JW34" s="419"/>
      <c r="JY34" s="419"/>
    </row>
    <row r="35" spans="1:285" ht="16.5" customHeight="1" thickBot="1" x14ac:dyDescent="0.8">
      <c r="A35" s="1175"/>
      <c r="B35" s="512" t="s">
        <v>327</v>
      </c>
      <c r="C35" s="350">
        <v>42532</v>
      </c>
      <c r="D35" s="351">
        <v>42771</v>
      </c>
      <c r="E35" s="352">
        <v>38934</v>
      </c>
      <c r="F35" s="386">
        <v>124237</v>
      </c>
      <c r="G35" s="382">
        <v>1450748.4746862133</v>
      </c>
      <c r="H35" s="1176"/>
      <c r="I35" s="366">
        <v>5.8536585365853662E-2</v>
      </c>
      <c r="J35" s="367">
        <v>5.7989130434782606E-2</v>
      </c>
      <c r="K35" s="368">
        <v>3.7686364585508558E-2</v>
      </c>
      <c r="L35" s="369">
        <v>3.7686364585508558E-2</v>
      </c>
      <c r="M35" s="513">
        <v>3.8985300732207406E-2</v>
      </c>
      <c r="O35" s="206">
        <v>2015</v>
      </c>
      <c r="R35">
        <f t="shared" si="228"/>
        <v>0.88264369439344714</v>
      </c>
      <c r="S35">
        <f t="shared" si="226"/>
        <v>1.1329600000000002</v>
      </c>
      <c r="T35">
        <f t="shared" si="227"/>
        <v>322.16494845360819</v>
      </c>
      <c r="U35">
        <f t="shared" si="229"/>
        <v>3.1040000000000004E-3</v>
      </c>
      <c r="X35" s="147">
        <f>S16*T16</f>
        <v>3.104E-3</v>
      </c>
      <c r="Y35" s="147"/>
      <c r="Z35" s="147"/>
      <c r="AA35" s="147"/>
      <c r="AB35" s="147"/>
      <c r="AC35" s="147"/>
      <c r="AD35" s="147"/>
      <c r="AE35" s="147"/>
      <c r="AF35" s="147"/>
      <c r="AG35" s="796" t="s">
        <v>305</v>
      </c>
      <c r="AH35" s="798">
        <v>6516</v>
      </c>
      <c r="AI35" s="798">
        <v>3781</v>
      </c>
      <c r="AJ35" s="797">
        <v>0.57999999999999996</v>
      </c>
      <c r="AK35" s="796">
        <v>45.24</v>
      </c>
      <c r="AL35" s="803">
        <v>16513</v>
      </c>
      <c r="AM35" s="147"/>
      <c r="AN35" s="902">
        <f t="shared" si="224"/>
        <v>1.8655519926706367E-2</v>
      </c>
      <c r="AO35" s="147"/>
      <c r="AP35">
        <f t="shared" si="11"/>
        <v>107.598708</v>
      </c>
      <c r="AQ35">
        <f t="shared" si="225"/>
        <v>107.59610160000001</v>
      </c>
      <c r="AR35" s="121">
        <f t="shared" si="12"/>
        <v>2.1651886858910511E-2</v>
      </c>
      <c r="AS35" s="147"/>
      <c r="BG35" s="95">
        <f>BG12+BG18+BG17+BG21+BG23</f>
        <v>2237.00616750974</v>
      </c>
      <c r="BH35" s="95">
        <f>BH12+BH18+BH17+BH21+BH23</f>
        <v>164444.41143861253</v>
      </c>
      <c r="BI35" s="95">
        <f>BI12+BI18+BI17+BI21+BI23</f>
        <v>0.58053340834563127</v>
      </c>
      <c r="BJ35" s="95">
        <f>BJ12+BJ18+BJ17+BJ21+BJ23</f>
        <v>6.2921196376768282</v>
      </c>
      <c r="BK35" s="95">
        <f>BK12+BK18+BK17+BK21+BK23</f>
        <v>166128.07807803058</v>
      </c>
      <c r="BN35" s="419"/>
      <c r="BP35" s="419"/>
      <c r="BQ35" s="419"/>
      <c r="BR35" s="419"/>
      <c r="BS35" s="147"/>
      <c r="BT35" s="147"/>
      <c r="BU35" s="147"/>
      <c r="BV35" s="147"/>
      <c r="BW35" s="147"/>
      <c r="BX35" s="147"/>
      <c r="BY35" s="147"/>
      <c r="BZ35" s="147"/>
      <c r="CB35" s="805" t="s">
        <v>308</v>
      </c>
      <c r="CC35" s="806">
        <v>7507</v>
      </c>
      <c r="CD35" s="806">
        <v>3992</v>
      </c>
      <c r="CE35" s="807">
        <v>0.53</v>
      </c>
      <c r="CF35" s="805">
        <v>93.06</v>
      </c>
      <c r="CG35" s="808">
        <v>33968</v>
      </c>
      <c r="CI35" s="121">
        <f t="shared" si="222"/>
        <v>2.231111930073796E-2</v>
      </c>
      <c r="CK35" s="31">
        <f t="shared" si="223"/>
        <v>254.98951830000001</v>
      </c>
      <c r="CL35" s="31">
        <f>CL15+CL21</f>
        <v>254.15928</v>
      </c>
      <c r="CM35" s="121">
        <f t="shared" si="1"/>
        <v>5.17278538335261E-2</v>
      </c>
      <c r="DB35" s="95">
        <f t="shared" ref="DB35:DF36" si="234">DB25</f>
        <v>7.5502211006264632</v>
      </c>
      <c r="DC35" s="95">
        <f t="shared" si="234"/>
        <v>536.45813936007175</v>
      </c>
      <c r="DD35" s="95">
        <f t="shared" si="234"/>
        <v>4.5462997071295641E-2</v>
      </c>
      <c r="DE35" s="95">
        <f t="shared" si="234"/>
        <v>9.1505606886737346E-3</v>
      </c>
      <c r="DF35" s="95">
        <f t="shared" si="234"/>
        <v>540.15600186056656</v>
      </c>
      <c r="DS35" s="732" t="s">
        <v>308</v>
      </c>
      <c r="DT35" s="733">
        <v>7200</v>
      </c>
      <c r="DU35" s="733">
        <v>3570</v>
      </c>
      <c r="DV35" s="734">
        <v>0.5</v>
      </c>
      <c r="DW35" s="732">
        <v>67.19</v>
      </c>
      <c r="DX35" s="733">
        <v>24525</v>
      </c>
      <c r="DZ35" s="121">
        <f t="shared" si="216"/>
        <v>2.2835829416354259E-2</v>
      </c>
      <c r="EB35" s="31">
        <f t="shared" si="217"/>
        <v>176.57532</v>
      </c>
      <c r="EC35" s="31">
        <f>EC15+EC21</f>
        <v>175.49534</v>
      </c>
      <c r="ED35" s="121">
        <f t="shared" si="3"/>
        <v>4.2112401619896093E-2</v>
      </c>
      <c r="EK35" t="s">
        <v>335</v>
      </c>
      <c r="EL35">
        <v>70.9769741921898</v>
      </c>
      <c r="EM35">
        <v>7.3169105356480999E-3</v>
      </c>
      <c r="EN35">
        <v>6.0998104818480998E-4</v>
      </c>
      <c r="ES35" s="95">
        <f t="shared" ref="ES35:EW36" si="235">ES25</f>
        <v>9.5632495206941392</v>
      </c>
      <c r="ET35" s="95">
        <f t="shared" si="235"/>
        <v>679.48778926248951</v>
      </c>
      <c r="EU35" s="95">
        <f t="shared" si="235"/>
        <v>5.7584271924872858E-2</v>
      </c>
      <c r="EV35" s="95">
        <f t="shared" si="235"/>
        <v>1.1590269205862177E-2</v>
      </c>
      <c r="EW35" s="95">
        <f t="shared" si="235"/>
        <v>684.17157021593937</v>
      </c>
      <c r="FJ35" s="640" t="s">
        <v>308</v>
      </c>
      <c r="FK35" s="641">
        <v>7040</v>
      </c>
      <c r="FL35" s="641">
        <v>3454</v>
      </c>
      <c r="FM35" s="642">
        <v>0.49</v>
      </c>
      <c r="FN35" s="643">
        <v>64.42</v>
      </c>
      <c r="FO35" s="644">
        <v>23513</v>
      </c>
      <c r="FQ35" s="121">
        <f t="shared" si="218"/>
        <v>2.2328366540435275E-2</v>
      </c>
      <c r="FS35" s="31">
        <f t="shared" si="219"/>
        <v>165.53363200000001</v>
      </c>
      <c r="FT35" s="31">
        <f>FT15+FT21</f>
        <v>164.75559100000001</v>
      </c>
      <c r="FU35" s="121">
        <f t="shared" si="5"/>
        <v>3.9535258413786592E-2</v>
      </c>
      <c r="GJ35" s="95">
        <f t="shared" ref="GJ35:GN36" si="236">GJ25</f>
        <v>7.621016228120002</v>
      </c>
      <c r="GK35" s="95">
        <f t="shared" si="236"/>
        <v>552.6285018089327</v>
      </c>
      <c r="GL35" s="95">
        <f t="shared" si="236"/>
        <v>4.9055107332193724E-2</v>
      </c>
      <c r="GM35" s="95">
        <f t="shared" si="236"/>
        <v>9.3143360910826461E-3</v>
      </c>
      <c r="GN35" s="95">
        <f t="shared" si="236"/>
        <v>556.47034387837095</v>
      </c>
      <c r="GZ35" t="str">
        <f t="shared" si="230"/>
        <v>Vörubifreiðar &gt;12t</v>
      </c>
      <c r="HA35" s="32">
        <f t="shared" si="220"/>
        <v>29</v>
      </c>
      <c r="HB35" s="32">
        <f t="shared" si="220"/>
        <v>7</v>
      </c>
      <c r="HC35" s="32"/>
      <c r="HD35" s="121">
        <f t="shared" si="231"/>
        <v>4.1660680936647029E-3</v>
      </c>
      <c r="HE35" s="32"/>
      <c r="HJ35" s="31"/>
      <c r="HK35" s="121"/>
      <c r="ID35" s="419"/>
      <c r="IG35" s="419"/>
      <c r="II35" s="419"/>
      <c r="IP35" t="str">
        <f t="shared" si="232"/>
        <v>Vörubifreiðar &gt;12t</v>
      </c>
      <c r="IQ35" s="32">
        <f t="shared" si="221"/>
        <v>27</v>
      </c>
      <c r="IR35" s="32">
        <f t="shared" si="221"/>
        <v>7</v>
      </c>
      <c r="IS35" s="32"/>
      <c r="IT35" s="121">
        <f t="shared" si="233"/>
        <v>4.0089086859688193E-3</v>
      </c>
      <c r="IU35" s="32"/>
      <c r="IZ35" s="31"/>
      <c r="JA35" s="121"/>
      <c r="JT35" s="419"/>
      <c r="JW35" s="419"/>
      <c r="JY35" s="419"/>
    </row>
    <row r="36" spans="1:285" ht="16.5" customHeight="1" thickBot="1" x14ac:dyDescent="0.8">
      <c r="A36" s="514" t="s">
        <v>329</v>
      </c>
      <c r="B36" s="370"/>
      <c r="C36" s="356">
        <v>40643.286940801925</v>
      </c>
      <c r="D36" s="356">
        <v>41092.764459243765</v>
      </c>
      <c r="E36" s="356">
        <v>39159.654823805431</v>
      </c>
      <c r="F36" s="357">
        <v>120895.70622385111</v>
      </c>
      <c r="G36" s="357"/>
      <c r="H36" s="1177"/>
      <c r="I36" s="371">
        <v>3.8034271765940542E-2</v>
      </c>
      <c r="J36" s="371">
        <v>3.4128618819366574E-2</v>
      </c>
      <c r="K36" s="372">
        <v>4.5129755541558403E-2</v>
      </c>
      <c r="L36" s="373"/>
      <c r="M36" s="372">
        <v>3.8985300732207406E-2</v>
      </c>
      <c r="O36" s="206">
        <v>2016</v>
      </c>
      <c r="R36">
        <f t="shared" si="228"/>
        <v>0.88264369439344714</v>
      </c>
      <c r="S36">
        <f t="shared" si="226"/>
        <v>1.1329600000000002</v>
      </c>
      <c r="T36">
        <f t="shared" si="227"/>
        <v>322.16494845360825</v>
      </c>
      <c r="U36">
        <f t="shared" si="229"/>
        <v>3.104E-3</v>
      </c>
      <c r="AG36" s="805" t="s">
        <v>308</v>
      </c>
      <c r="AH36" s="806">
        <v>7808</v>
      </c>
      <c r="AI36" s="806">
        <v>4292</v>
      </c>
      <c r="AJ36" s="807">
        <v>0.55000000000000004</v>
      </c>
      <c r="AK36" s="805">
        <v>78.930000000000007</v>
      </c>
      <c r="AL36" s="808">
        <v>28809</v>
      </c>
      <c r="AN36" s="902">
        <f t="shared" si="224"/>
        <v>2.2354557947778287E-2</v>
      </c>
      <c r="AP36">
        <f t="shared" si="11"/>
        <v>224.94067200000001</v>
      </c>
      <c r="AQ36">
        <f t="shared" si="225"/>
        <v>224.94418560000003</v>
      </c>
      <c r="AR36" s="121">
        <f t="shared" si="12"/>
        <v>4.5264390908033018E-2</v>
      </c>
      <c r="BG36" s="95">
        <f t="shared" ref="BG36:BG39" si="237">BG13+BG19+BG18+BG22+BG24</f>
        <v>81.317366273778831</v>
      </c>
      <c r="BH36" s="95">
        <f t="shared" ref="BH36:BK37" si="238">BH26</f>
        <v>452.17300000981004</v>
      </c>
      <c r="BI36" s="95">
        <f t="shared" si="238"/>
        <v>3.4687282891893705E-2</v>
      </c>
      <c r="BJ36" s="95">
        <f t="shared" si="238"/>
        <v>5.2297631835640252E-3</v>
      </c>
      <c r="BK36" s="95">
        <f t="shared" si="238"/>
        <v>454.53013117442754</v>
      </c>
      <c r="BN36" s="419"/>
      <c r="BP36" s="419"/>
      <c r="BQ36" s="419"/>
      <c r="BR36" s="419"/>
      <c r="CD36" s="32" cm="1">
        <f t="array" ref="CD36">SUM(CD9:CD14+CD16:CD21+CD23:CD28+CD30:CD35)</f>
        <v>349606</v>
      </c>
      <c r="CK36" s="31">
        <f>SUM(CK30:CK35)</f>
        <v>4969.8662727000001</v>
      </c>
      <c r="CL36" s="31">
        <f>SUM(CL30:CL35)</f>
        <v>4913.3930980000005</v>
      </c>
      <c r="DB36" s="95">
        <f t="shared" si="234"/>
        <v>209.7506590251862</v>
      </c>
      <c r="DC36" s="95">
        <f t="shared" si="234"/>
        <v>15533.029279204569</v>
      </c>
      <c r="DD36" s="95">
        <f t="shared" si="234"/>
        <v>2.1172928623386329E-2</v>
      </c>
      <c r="DE36" s="95">
        <f t="shared" si="234"/>
        <v>0.42939276806155019</v>
      </c>
      <c r="DF36" s="95">
        <f t="shared" si="234"/>
        <v>15647.411204742335</v>
      </c>
      <c r="EB36" s="31">
        <f>SUM(EB30:EB35)</f>
        <v>4246.7542278499996</v>
      </c>
      <c r="EC36" s="31">
        <f>SUM(EC30:EC35)</f>
        <v>4219.5531420000007</v>
      </c>
      <c r="EK36" t="s">
        <v>336</v>
      </c>
      <c r="EL36">
        <v>70.9769741921898</v>
      </c>
      <c r="EM36">
        <v>7.3169105356480999E-3</v>
      </c>
      <c r="EN36">
        <v>6.0998104818480998E-4</v>
      </c>
      <c r="ES36" s="95">
        <f t="shared" si="235"/>
        <v>164.83133668486161</v>
      </c>
      <c r="ET36" s="95">
        <f t="shared" si="235"/>
        <v>12206.540807811933</v>
      </c>
      <c r="EU36" s="95">
        <f t="shared" si="235"/>
        <v>1.6638622938042219E-2</v>
      </c>
      <c r="EV36" s="95">
        <f t="shared" si="235"/>
        <v>0.33743581188891208</v>
      </c>
      <c r="EW36" s="95">
        <f t="shared" si="235"/>
        <v>12296.42717940476</v>
      </c>
      <c r="FS36" s="31">
        <f>SUM(FS30:FS35)</f>
        <v>4154.1574691000005</v>
      </c>
      <c r="FT36" s="31">
        <f>SUM(FT30:FT35)</f>
        <v>4167.3078059999989</v>
      </c>
      <c r="GJ36" s="95">
        <f t="shared" si="236"/>
        <v>147.07016789405321</v>
      </c>
      <c r="GK36" s="95">
        <f t="shared" si="236"/>
        <v>10790.179573126481</v>
      </c>
      <c r="GL36" s="95">
        <f t="shared" si="236"/>
        <v>5.4265209237477872E-2</v>
      </c>
      <c r="GM36" s="95">
        <f t="shared" si="236"/>
        <v>0.30803097316718769</v>
      </c>
      <c r="GN36" s="95">
        <f t="shared" si="236"/>
        <v>10873.327206874435</v>
      </c>
      <c r="HA36" s="32"/>
      <c r="HB36" s="32"/>
      <c r="HC36" s="32"/>
      <c r="HD36" s="32"/>
      <c r="HE36" s="32"/>
      <c r="HJ36" s="31">
        <f>SUM(HJ29:HJ34)</f>
        <v>4247.7283159999997</v>
      </c>
      <c r="ID36" s="419"/>
      <c r="IG36" s="419"/>
      <c r="II36" s="419"/>
      <c r="IQ36" s="32"/>
      <c r="IR36" s="32"/>
      <c r="IS36" s="32"/>
      <c r="IT36" s="32"/>
      <c r="IU36" s="32"/>
      <c r="IZ36" s="31">
        <f>SUM(IZ29:IZ34)</f>
        <v>4201.3043930000003</v>
      </c>
      <c r="JT36" s="419"/>
      <c r="JW36" s="419"/>
      <c r="JY36" s="419"/>
    </row>
    <row r="37" spans="1:285" ht="16.5" customHeight="1" x14ac:dyDescent="0.65">
      <c r="A37" s="1161">
        <v>2007</v>
      </c>
      <c r="B37" s="506" t="s">
        <v>295</v>
      </c>
      <c r="C37" s="334">
        <v>40666</v>
      </c>
      <c r="D37" s="335">
        <v>39409</v>
      </c>
      <c r="E37" s="336">
        <v>37899</v>
      </c>
      <c r="F37" s="337">
        <v>117974</v>
      </c>
      <c r="G37" s="381">
        <v>117974</v>
      </c>
      <c r="H37" s="1165" t="s">
        <v>333</v>
      </c>
      <c r="I37" s="360">
        <v>7.0467766985179925E-2</v>
      </c>
      <c r="J37" s="507">
        <v>9.2757049766449454E-2</v>
      </c>
      <c r="K37" s="508">
        <v>6.1795730280447936E-2</v>
      </c>
      <c r="L37" s="361">
        <v>6.1795730280447936E-2</v>
      </c>
      <c r="M37" s="509">
        <v>6.1795730280447936E-2</v>
      </c>
      <c r="O37" s="206">
        <v>2017</v>
      </c>
      <c r="R37">
        <f t="shared" si="228"/>
        <v>0.88264369439344714</v>
      </c>
      <c r="S37">
        <f t="shared" si="226"/>
        <v>1.1329600000000002</v>
      </c>
      <c r="T37">
        <f t="shared" si="227"/>
        <v>322.16494845360825</v>
      </c>
      <c r="U37">
        <f t="shared" si="229"/>
        <v>3.104E-3</v>
      </c>
      <c r="AP37">
        <f>SUM(AP31:AP36)</f>
        <v>4969.4841239999996</v>
      </c>
      <c r="AQ37">
        <f>SUM(AQ31:AQ36)</f>
        <v>4969.4866544500001</v>
      </c>
      <c r="AR37" s="121">
        <f t="shared" si="12"/>
        <v>1</v>
      </c>
      <c r="BG37" s="95">
        <f t="shared" si="237"/>
        <v>797.58234853544855</v>
      </c>
      <c r="BH37" s="95">
        <f t="shared" si="238"/>
        <v>16651.200797096233</v>
      </c>
      <c r="BI37" s="95">
        <f t="shared" si="238"/>
        <v>0.18664384044044199</v>
      </c>
      <c r="BJ37" s="95">
        <f t="shared" si="238"/>
        <v>0.80335892511307783</v>
      </c>
      <c r="BK37" s="95">
        <f t="shared" si="238"/>
        <v>16869.31693978353</v>
      </c>
      <c r="BN37" s="419"/>
      <c r="BP37" s="419"/>
      <c r="BQ37" s="419"/>
      <c r="BR37" s="419"/>
      <c r="CC37" s="32">
        <f>SUM(CC30:CC35)</f>
        <v>336469</v>
      </c>
      <c r="DB37" s="95">
        <f t="shared" ref="DB37:DF38" si="239">DB27+DB23</f>
        <v>7.6115482422541243</v>
      </c>
      <c r="DC37" s="95">
        <f t="shared" si="239"/>
        <v>540.80891081987113</v>
      </c>
      <c r="DD37" s="95">
        <f t="shared" si="239"/>
        <v>0.11697592734377057</v>
      </c>
      <c r="DE37" s="95">
        <f t="shared" si="239"/>
        <v>6.2665675362167149E-3</v>
      </c>
      <c r="DF37" s="95">
        <f t="shared" si="239"/>
        <v>545.74487718259411</v>
      </c>
      <c r="EK37" t="s">
        <v>337</v>
      </c>
      <c r="EL37">
        <v>74.054734089485606</v>
      </c>
      <c r="EM37">
        <v>1.1457692289250001E-4</v>
      </c>
      <c r="EN37">
        <v>2.5659043229536902E-3</v>
      </c>
      <c r="ES37" s="95">
        <f t="shared" ref="ES37:EW38" si="240">ES27+ES23</f>
        <v>9.636306704710714</v>
      </c>
      <c r="ET37" s="95">
        <f t="shared" si="240"/>
        <v>684.67023625636125</v>
      </c>
      <c r="EU37" s="95">
        <f t="shared" si="240"/>
        <v>0.148092855366139</v>
      </c>
      <c r="EV37" s="95">
        <f t="shared" si="240"/>
        <v>7.9335458231142245E-3</v>
      </c>
      <c r="EW37" s="95">
        <f t="shared" si="240"/>
        <v>690.91922584973838</v>
      </c>
      <c r="FK37" s="32">
        <f>SUM(FK30:FK35)</f>
        <v>315294</v>
      </c>
      <c r="GJ37" s="95">
        <f t="shared" ref="GJ37:GN38" si="241">GJ27+GJ23</f>
        <v>7.7213454869825346</v>
      </c>
      <c r="GK37" s="95">
        <f t="shared" si="241"/>
        <v>559.89082327534243</v>
      </c>
      <c r="GL37" s="95">
        <f t="shared" si="241"/>
        <v>0.12215670558456472</v>
      </c>
      <c r="GM37" s="95">
        <f t="shared" si="241"/>
        <v>6.5442466109000043E-3</v>
      </c>
      <c r="GN37" s="95">
        <f t="shared" si="241"/>
        <v>565.04543638359883</v>
      </c>
      <c r="GZ37" s="205" t="s">
        <v>140</v>
      </c>
      <c r="HA37" s="32"/>
      <c r="HB37" s="32"/>
      <c r="HC37" s="32"/>
      <c r="HD37" s="32"/>
      <c r="HE37" s="32"/>
      <c r="HJ37" s="31">
        <f>SUM(HJ9:HJ23)</f>
        <v>4240.272234</v>
      </c>
      <c r="HT37" s="147"/>
      <c r="HV37" s="147"/>
      <c r="IP37" s="205" t="s">
        <v>140</v>
      </c>
      <c r="IQ37" s="32"/>
      <c r="IR37" s="32"/>
      <c r="IS37" s="32"/>
      <c r="IT37" s="32"/>
      <c r="IU37" s="32"/>
      <c r="IZ37" s="31">
        <f>SUM(IZ9:IZ23)</f>
        <v>4194.4306510000006</v>
      </c>
      <c r="JJ37" s="147"/>
      <c r="JL37" s="147"/>
    </row>
    <row r="38" spans="1:285" ht="16.5" customHeight="1" x14ac:dyDescent="0.65">
      <c r="A38" s="1161"/>
      <c r="B38" s="341" t="s">
        <v>299</v>
      </c>
      <c r="C38" s="342">
        <v>42636</v>
      </c>
      <c r="D38" s="343">
        <v>41580</v>
      </c>
      <c r="E38" s="344">
        <v>40896</v>
      </c>
      <c r="F38" s="345">
        <v>125112</v>
      </c>
      <c r="G38" s="382">
        <v>243086</v>
      </c>
      <c r="H38" s="1163"/>
      <c r="I38" s="362">
        <v>4.2266604737575479E-2</v>
      </c>
      <c r="J38" s="363">
        <v>9.0530919175488653E-2</v>
      </c>
      <c r="K38" s="364">
        <v>5.0663845010455288E-2</v>
      </c>
      <c r="L38" s="365">
        <v>5.0663845010455288E-2</v>
      </c>
      <c r="M38" s="510">
        <v>5.6037048139121692E-2</v>
      </c>
      <c r="O38" s="206">
        <v>2018</v>
      </c>
      <c r="R38">
        <f t="shared" si="228"/>
        <v>0.88264369439344725</v>
      </c>
      <c r="S38">
        <f t="shared" si="226"/>
        <v>1.13296</v>
      </c>
      <c r="T38">
        <f t="shared" si="227"/>
        <v>322.16494845360825</v>
      </c>
      <c r="U38">
        <f t="shared" si="229"/>
        <v>3.104E-3</v>
      </c>
      <c r="AH38" s="32">
        <f>SUM(AH31:AH36)</f>
        <v>349280</v>
      </c>
      <c r="BG38" s="95">
        <f t="shared" si="237"/>
        <v>83.910439795539389</v>
      </c>
      <c r="BH38" s="95">
        <f t="shared" ref="BH38:BK39" si="242">BH28+BH24</f>
        <v>451.97010672180869</v>
      </c>
      <c r="BI38" s="95">
        <f t="shared" si="242"/>
        <v>9.2978935892674544E-2</v>
      </c>
      <c r="BJ38" s="95">
        <f t="shared" si="242"/>
        <v>4.9810144226251308E-3</v>
      </c>
      <c r="BK38" s="95">
        <f t="shared" si="242"/>
        <v>455.89348574879921</v>
      </c>
      <c r="BN38" s="419"/>
      <c r="BP38" s="419"/>
      <c r="BQ38" s="419"/>
      <c r="BR38" s="419"/>
      <c r="DB38" s="95">
        <f t="shared" si="239"/>
        <v>720.69862863629248</v>
      </c>
      <c r="DC38" s="95">
        <f t="shared" si="239"/>
        <v>53371.145302317498</v>
      </c>
      <c r="DD38" s="95">
        <f t="shared" si="239"/>
        <v>1.0352101358762202</v>
      </c>
      <c r="DE38" s="95">
        <f t="shared" si="239"/>
        <v>2.2224712097755805</v>
      </c>
      <c r="DF38" s="95">
        <f t="shared" si="239"/>
        <v>53989.086056712564</v>
      </c>
      <c r="EK38" t="s">
        <v>339</v>
      </c>
      <c r="EL38">
        <v>74.054734089485606</v>
      </c>
      <c r="EM38">
        <v>1.1457692289250001E-4</v>
      </c>
      <c r="EN38">
        <v>2.5659043229536902E-3</v>
      </c>
      <c r="ES38" s="95">
        <f t="shared" si="240"/>
        <v>471.71989162417515</v>
      </c>
      <c r="ET38" s="95">
        <f t="shared" si="240"/>
        <v>34933.09113894921</v>
      </c>
      <c r="EU38" s="95">
        <f t="shared" si="240"/>
        <v>0.67757755280844068</v>
      </c>
      <c r="EV38" s="95">
        <f t="shared" si="240"/>
        <v>1.4546772209029182</v>
      </c>
      <c r="EW38" s="95">
        <f t="shared" si="240"/>
        <v>35337.552773967123</v>
      </c>
      <c r="GJ38" s="95">
        <f t="shared" si="241"/>
        <v>446.27631094929336</v>
      </c>
      <c r="GK38" s="95">
        <f t="shared" si="241"/>
        <v>32742.168290851456</v>
      </c>
      <c r="GL38" s="95">
        <f t="shared" si="241"/>
        <v>0.92713660229022987</v>
      </c>
      <c r="GM38" s="95">
        <f t="shared" si="241"/>
        <v>1.0530811542905567</v>
      </c>
      <c r="GN38" s="95">
        <f t="shared" si="241"/>
        <v>33047.194621602583</v>
      </c>
      <c r="HA38" s="32"/>
      <c r="HB38" s="32"/>
      <c r="HC38" s="32"/>
      <c r="HD38" s="32"/>
      <c r="HE38" s="32"/>
      <c r="IQ38" s="31"/>
    </row>
    <row r="39" spans="1:285" ht="16.5" customHeight="1" x14ac:dyDescent="0.65">
      <c r="A39" s="1161"/>
      <c r="B39" s="341" t="s">
        <v>303</v>
      </c>
      <c r="C39" s="342">
        <v>44711</v>
      </c>
      <c r="D39" s="343">
        <v>43720</v>
      </c>
      <c r="E39" s="344">
        <v>42527</v>
      </c>
      <c r="F39" s="345">
        <v>130958</v>
      </c>
      <c r="G39" s="382">
        <v>374044</v>
      </c>
      <c r="H39" s="1163"/>
      <c r="I39" s="362">
        <v>5.0787309048178617E-2</v>
      </c>
      <c r="J39" s="363">
        <v>8.8008800880088014E-2</v>
      </c>
      <c r="K39" s="364">
        <v>6.0551825786963276E-2</v>
      </c>
      <c r="L39" s="365">
        <v>6.0551825786963276E-2</v>
      </c>
      <c r="M39" s="510">
        <v>5.7613354897813718E-2</v>
      </c>
      <c r="O39" s="206">
        <v>2019</v>
      </c>
      <c r="R39">
        <f t="shared" si="228"/>
        <v>0.88264369439344725</v>
      </c>
      <c r="S39">
        <f t="shared" si="226"/>
        <v>1.13296</v>
      </c>
      <c r="T39">
        <f t="shared" si="227"/>
        <v>322.16494845360825</v>
      </c>
      <c r="U39">
        <f t="shared" si="229"/>
        <v>3.104E-3</v>
      </c>
      <c r="BG39" s="95">
        <f t="shared" si="237"/>
        <v>616.21090558263302</v>
      </c>
      <c r="BH39" s="95">
        <f t="shared" si="242"/>
        <v>51642.0748954273</v>
      </c>
      <c r="BI39" s="95">
        <f t="shared" si="242"/>
        <v>0.42395679307926243</v>
      </c>
      <c r="BJ39" s="95">
        <f t="shared" si="242"/>
        <v>2.1843824693163651</v>
      </c>
      <c r="BK39" s="95">
        <f t="shared" si="242"/>
        <v>52232.807040002357</v>
      </c>
      <c r="BN39" s="419"/>
      <c r="BP39" s="419"/>
      <c r="BQ39" s="419"/>
      <c r="BR39" s="419"/>
      <c r="EK39" t="s">
        <v>340</v>
      </c>
      <c r="EL39">
        <v>70.9769741921898</v>
      </c>
      <c r="EM39">
        <v>7.3169105356480999E-3</v>
      </c>
      <c r="EN39">
        <v>6.0998104818480998E-4</v>
      </c>
    </row>
    <row r="40" spans="1:285" ht="16.5" customHeight="1" x14ac:dyDescent="0.8">
      <c r="A40" s="1161"/>
      <c r="B40" s="341" t="s">
        <v>306</v>
      </c>
      <c r="C40" s="342">
        <v>41126</v>
      </c>
      <c r="D40" s="343">
        <v>42156</v>
      </c>
      <c r="E40" s="344">
        <v>42383</v>
      </c>
      <c r="F40" s="345">
        <v>125665</v>
      </c>
      <c r="G40" s="382">
        <v>499709</v>
      </c>
      <c r="H40" s="1163"/>
      <c r="I40" s="362">
        <v>7.1352280720035424E-2</v>
      </c>
      <c r="J40" s="363">
        <v>0.1281375602225239</v>
      </c>
      <c r="K40" s="364">
        <v>8.7773209262064444E-2</v>
      </c>
      <c r="L40" s="365">
        <v>8.7773209262064444E-2</v>
      </c>
      <c r="M40" s="510">
        <v>6.5039333493892793E-2</v>
      </c>
      <c r="O40" s="206">
        <v>2020</v>
      </c>
      <c r="R40">
        <f t="shared" si="228"/>
        <v>0.88264369439344714</v>
      </c>
      <c r="S40">
        <f t="shared" si="226"/>
        <v>1.1329600000000002</v>
      </c>
      <c r="T40">
        <f t="shared" si="227"/>
        <v>322.16494845360819</v>
      </c>
      <c r="U40">
        <f t="shared" si="229"/>
        <v>3.1040000000000004E-3</v>
      </c>
      <c r="BK40" s="419"/>
      <c r="BN40" s="419"/>
      <c r="BP40" s="419"/>
      <c r="BQ40" s="419"/>
      <c r="BR40" s="419"/>
      <c r="DH40" s="419"/>
      <c r="DM40" s="654">
        <v>2022</v>
      </c>
      <c r="DN40"/>
      <c r="DO40"/>
      <c r="DP40"/>
      <c r="EJ40" t="s">
        <v>309</v>
      </c>
      <c r="EK40" t="s">
        <v>264</v>
      </c>
      <c r="EL40">
        <v>71.051977446800905</v>
      </c>
      <c r="EM40">
        <v>6.0214126798913805E-3</v>
      </c>
      <c r="EN40">
        <v>1.2119593011540399E-3</v>
      </c>
    </row>
    <row r="41" spans="1:285" ht="16.5" customHeight="1" thickBot="1" x14ac:dyDescent="0.8">
      <c r="A41" s="1161"/>
      <c r="B41" s="341" t="s">
        <v>310</v>
      </c>
      <c r="C41" s="342">
        <v>43780</v>
      </c>
      <c r="D41" s="343">
        <v>44517</v>
      </c>
      <c r="E41" s="344">
        <v>45850</v>
      </c>
      <c r="F41" s="345">
        <v>134147</v>
      </c>
      <c r="G41" s="382">
        <v>633856</v>
      </c>
      <c r="H41" s="1163"/>
      <c r="I41" s="362">
        <v>4.1785646297353894E-2</v>
      </c>
      <c r="J41" s="363">
        <v>0.12413268933728884</v>
      </c>
      <c r="K41" s="364">
        <v>7.0401519262072609E-2</v>
      </c>
      <c r="L41" s="365">
        <v>7.0401519262072609E-2</v>
      </c>
      <c r="M41" s="510">
        <v>6.6169680597863545E-2</v>
      </c>
      <c r="R41">
        <f t="shared" si="228"/>
        <v>0.88264369439344725</v>
      </c>
      <c r="S41">
        <f t="shared" si="226"/>
        <v>1.13296</v>
      </c>
      <c r="T41">
        <f t="shared" si="227"/>
        <v>322.16494845360825</v>
      </c>
      <c r="U41">
        <f t="shared" si="229"/>
        <v>3.104E-3</v>
      </c>
      <c r="CZ41" t="s">
        <v>265</v>
      </c>
      <c r="DD41">
        <v>29.8</v>
      </c>
      <c r="DE41">
        <v>273</v>
      </c>
      <c r="DJ41" t="s">
        <v>1022</v>
      </c>
      <c r="DM41"/>
      <c r="DN41"/>
      <c r="DO41"/>
      <c r="DP41"/>
      <c r="EK41" t="s">
        <v>302</v>
      </c>
      <c r="EL41">
        <v>74.054734089485805</v>
      </c>
      <c r="EM41">
        <v>1.0094332347649E-4</v>
      </c>
      <c r="EN41">
        <v>2.0471581355555601E-3</v>
      </c>
    </row>
    <row r="42" spans="1:285" ht="16.5" customHeight="1" x14ac:dyDescent="0.8">
      <c r="A42" s="1161"/>
      <c r="B42" s="341" t="s">
        <v>314</v>
      </c>
      <c r="C42" s="342">
        <v>42691</v>
      </c>
      <c r="D42" s="343">
        <v>44919</v>
      </c>
      <c r="E42" s="344">
        <v>47313</v>
      </c>
      <c r="F42" s="345">
        <v>134923</v>
      </c>
      <c r="G42" s="382">
        <v>768779</v>
      </c>
      <c r="H42" s="1163"/>
      <c r="I42" s="362">
        <v>8.3225495420060386E-2</v>
      </c>
      <c r="J42" s="363">
        <v>0.16068493486740426</v>
      </c>
      <c r="K42" s="364">
        <v>0.10868886405469369</v>
      </c>
      <c r="L42" s="365">
        <v>0.10868886405469369</v>
      </c>
      <c r="M42" s="510">
        <v>7.3394367318102338E-2</v>
      </c>
      <c r="R42">
        <f t="shared" si="228"/>
        <v>0.88264369439344725</v>
      </c>
      <c r="S42">
        <f t="shared" ref="S42" si="243">R27/U27</f>
        <v>1.13296</v>
      </c>
      <c r="T42">
        <f t="shared" ref="T42" si="244">T27/Q27</f>
        <v>322.16494845360825</v>
      </c>
      <c r="U42">
        <f t="shared" si="229"/>
        <v>3.104E-3</v>
      </c>
      <c r="BK42" s="419"/>
      <c r="BM42" s="419"/>
      <c r="BN42" s="419"/>
      <c r="BP42" s="419"/>
      <c r="BQ42" s="419"/>
      <c r="BR42" s="419"/>
      <c r="BS42" s="654">
        <v>2023</v>
      </c>
      <c r="BX42" s="943" t="s">
        <v>762</v>
      </c>
      <c r="BY42" s="944" t="s">
        <v>704</v>
      </c>
      <c r="CB42" s="924">
        <v>2022</v>
      </c>
      <c r="CC42" s="925" t="s">
        <v>255</v>
      </c>
      <c r="CD42" s="925" t="s">
        <v>256</v>
      </c>
      <c r="CE42" s="925" t="s">
        <v>257</v>
      </c>
      <c r="CF42" s="925" t="s">
        <v>258</v>
      </c>
      <c r="CG42" s="926" t="s">
        <v>259</v>
      </c>
      <c r="CS42" t="s">
        <v>275</v>
      </c>
      <c r="CT42" t="s">
        <v>276</v>
      </c>
      <c r="CU42" t="s">
        <v>277</v>
      </c>
      <c r="CV42" t="s">
        <v>278</v>
      </c>
      <c r="CW42" t="s">
        <v>279</v>
      </c>
      <c r="CX42" t="s">
        <v>280</v>
      </c>
      <c r="CY42" t="s">
        <v>281</v>
      </c>
      <c r="CZ42" t="s">
        <v>282</v>
      </c>
      <c r="DA42" t="s">
        <v>283</v>
      </c>
      <c r="DB42" t="s">
        <v>199</v>
      </c>
      <c r="DC42" t="s">
        <v>281</v>
      </c>
      <c r="DD42" t="s">
        <v>282</v>
      </c>
      <c r="DE42" t="s">
        <v>283</v>
      </c>
      <c r="DG42" t="s">
        <v>284</v>
      </c>
      <c r="DH42" t="s">
        <v>285</v>
      </c>
      <c r="DI42" s="419" t="s">
        <v>286</v>
      </c>
      <c r="DJ42" t="s">
        <v>383</v>
      </c>
      <c r="DK42" s="419" t="s">
        <v>384</v>
      </c>
      <c r="DM42" s="419" t="s">
        <v>385</v>
      </c>
      <c r="DN42" s="31">
        <f>IF($O$15=2012,VLOOKUP(DM40,$O$18:$R$29,4),VLOOKUP(DM40,$O$18:$AB$29,14))</f>
        <v>1107.8058116504744</v>
      </c>
      <c r="DO42" s="25" t="s">
        <v>135</v>
      </c>
      <c r="DP42"/>
      <c r="EJ42" t="s">
        <v>318</v>
      </c>
      <c r="EK42" t="s">
        <v>264</v>
      </c>
      <c r="EL42">
        <v>71.051977446800905</v>
      </c>
      <c r="EM42">
        <v>6.0214126798913805E-3</v>
      </c>
      <c r="EN42">
        <v>1.2119593011540399E-3</v>
      </c>
    </row>
    <row r="43" spans="1:285" ht="16.5" customHeight="1" thickBot="1" x14ac:dyDescent="0.8">
      <c r="A43" s="1161"/>
      <c r="B43" s="341" t="s">
        <v>316</v>
      </c>
      <c r="C43" s="342">
        <v>39540</v>
      </c>
      <c r="D43" s="343">
        <v>44232.379760577489</v>
      </c>
      <c r="E43" s="344">
        <v>46367</v>
      </c>
      <c r="F43" s="345">
        <v>130139.37976057749</v>
      </c>
      <c r="G43" s="382">
        <v>898918.37976057746</v>
      </c>
      <c r="H43" s="1163"/>
      <c r="I43" s="362">
        <v>0.10480874011567801</v>
      </c>
      <c r="J43" s="363">
        <v>0.16024822961239146</v>
      </c>
      <c r="K43" s="364">
        <v>0.1269918143371076</v>
      </c>
      <c r="L43" s="365">
        <v>0.1269918143371076</v>
      </c>
      <c r="M43" s="510">
        <v>8.083605842645003E-2</v>
      </c>
      <c r="BE43" s="25" t="s">
        <v>265</v>
      </c>
      <c r="BI43">
        <v>29.8</v>
      </c>
      <c r="BJ43">
        <v>273</v>
      </c>
      <c r="BK43" s="419"/>
      <c r="BN43" s="419"/>
      <c r="BO43" t="s">
        <v>382</v>
      </c>
      <c r="BP43" s="205" t="s">
        <v>736</v>
      </c>
      <c r="BQ43" s="419"/>
      <c r="BR43" s="419"/>
      <c r="BX43" s="945" t="s">
        <v>264</v>
      </c>
      <c r="BY43" s="946">
        <v>85128</v>
      </c>
      <c r="CB43" s="1142" t="s">
        <v>264</v>
      </c>
      <c r="CC43" s="1143"/>
      <c r="CD43" s="1143"/>
      <c r="CE43" s="1143"/>
      <c r="CF43" s="1143"/>
      <c r="CG43" s="1144"/>
      <c r="DF43" s="837"/>
      <c r="DM43"/>
      <c r="DN43"/>
      <c r="DO43"/>
      <c r="DP43"/>
      <c r="EK43" t="s">
        <v>302</v>
      </c>
      <c r="EL43">
        <v>74.054734089485805</v>
      </c>
      <c r="EM43">
        <v>1.0094332347649E-4</v>
      </c>
      <c r="EN43">
        <v>2.0471581355555601E-3</v>
      </c>
    </row>
    <row r="44" spans="1:285" ht="16.5" customHeight="1" thickBot="1" x14ac:dyDescent="1.2">
      <c r="A44" s="1161"/>
      <c r="B44" s="341" t="s">
        <v>319</v>
      </c>
      <c r="C44" s="342">
        <v>43072</v>
      </c>
      <c r="D44" s="343">
        <v>45828</v>
      </c>
      <c r="E44" s="344">
        <v>46593</v>
      </c>
      <c r="F44" s="345">
        <v>135493</v>
      </c>
      <c r="G44" s="382">
        <v>1034411.3797605775</v>
      </c>
      <c r="H44" s="1163"/>
      <c r="I44" s="362">
        <v>0.10807542898304649</v>
      </c>
      <c r="J44" s="363">
        <v>0.1508706928492034</v>
      </c>
      <c r="K44" s="364">
        <v>0.13237170108093732</v>
      </c>
      <c r="L44" s="365">
        <v>0.13237170108093732</v>
      </c>
      <c r="M44" s="510">
        <v>8.7317905757384517E-2</v>
      </c>
      <c r="AB44" s="25" t="s">
        <v>957</v>
      </c>
      <c r="AG44" s="1231" t="s">
        <v>956</v>
      </c>
      <c r="AH44" s="1231"/>
      <c r="AI44" s="674"/>
      <c r="AJ44" s="674"/>
      <c r="AK44" s="674"/>
      <c r="AL44" s="674"/>
      <c r="AX44" t="s">
        <v>275</v>
      </c>
      <c r="AY44" t="s">
        <v>276</v>
      </c>
      <c r="AZ44" t="s">
        <v>277</v>
      </c>
      <c r="BA44" t="s">
        <v>278</v>
      </c>
      <c r="BB44" t="s">
        <v>279</v>
      </c>
      <c r="BC44" t="s">
        <v>280</v>
      </c>
      <c r="BD44" t="s">
        <v>281</v>
      </c>
      <c r="BE44" t="s">
        <v>282</v>
      </c>
      <c r="BF44" t="s">
        <v>283</v>
      </c>
      <c r="BG44" t="s">
        <v>199</v>
      </c>
      <c r="BH44" t="s">
        <v>281</v>
      </c>
      <c r="BI44" t="s">
        <v>282</v>
      </c>
      <c r="BJ44" t="s">
        <v>283</v>
      </c>
      <c r="BK44" s="419"/>
      <c r="BL44" t="s">
        <v>284</v>
      </c>
      <c r="BM44" t="s">
        <v>285</v>
      </c>
      <c r="BN44" s="419" t="s">
        <v>286</v>
      </c>
      <c r="BO44" t="s">
        <v>383</v>
      </c>
      <c r="BP44" s="419" t="s">
        <v>384</v>
      </c>
      <c r="BQ44" s="419"/>
      <c r="BR44" s="419"/>
      <c r="BS44" s="419" t="s">
        <v>385</v>
      </c>
      <c r="BT44" s="31">
        <f>IF($O$15=2012,VLOOKUP(BS42,$O$18:$R$29,4),VLOOKUP(BS42,$O$18:$AB$29,14))</f>
        <v>1158.7648789863963</v>
      </c>
      <c r="BU44" s="25" t="s">
        <v>135</v>
      </c>
      <c r="BX44" s="947" t="s">
        <v>293</v>
      </c>
      <c r="BY44">
        <v>82073</v>
      </c>
      <c r="BZ44">
        <f>IFERROR(CC44*AL47/1000000,0)</f>
        <v>902.556781</v>
      </c>
      <c r="CA44" s="121">
        <f>BZ44/$BZ$74</f>
        <v>0.35231572613468148</v>
      </c>
      <c r="CB44" s="927" t="s">
        <v>223</v>
      </c>
      <c r="CC44" s="927">
        <v>82073</v>
      </c>
      <c r="CD44" s="928">
        <v>49883</v>
      </c>
      <c r="CE44" s="927"/>
      <c r="CF44" s="927">
        <v>31.67</v>
      </c>
      <c r="CG44" s="929">
        <v>11558</v>
      </c>
      <c r="CI44" s="121">
        <f>CC44/$CC$71</f>
        <v>0.43897286137586511</v>
      </c>
      <c r="CJ44" s="121">
        <f>CD44/CD65</f>
        <v>0.57402761795166857</v>
      </c>
      <c r="CL44" s="31">
        <f>CG44*CC44/1000000</f>
        <v>948.59973400000001</v>
      </c>
      <c r="CM44" s="121">
        <f>CL44/$CL$71</f>
        <v>0.36427303897984997</v>
      </c>
      <c r="CO44" t="s">
        <v>298</v>
      </c>
      <c r="CP44" t="s">
        <v>264</v>
      </c>
      <c r="CQ44" s="147">
        <f>CM44</f>
        <v>0.36427303897984997</v>
      </c>
      <c r="CR44" s="31">
        <f t="shared" ref="CR44:CR61" si="245">CQ44*$DN$42</f>
        <v>403.54378960945763</v>
      </c>
      <c r="CS44">
        <v>8</v>
      </c>
      <c r="CT44">
        <f>CS44/100</f>
        <v>0.08</v>
      </c>
      <c r="CU44">
        <v>0.75</v>
      </c>
      <c r="CV44">
        <f>CU44*CT44</f>
        <v>0.06</v>
      </c>
      <c r="CW44">
        <v>44.3</v>
      </c>
      <c r="CX44">
        <f>CW44*CV44</f>
        <v>2.6579999999999999</v>
      </c>
      <c r="CY44">
        <v>70.9769741921898</v>
      </c>
      <c r="CZ44">
        <v>7.3169105356480999E-3</v>
      </c>
      <c r="DA44">
        <v>6.0998104818480998E-4</v>
      </c>
      <c r="DB44" s="31">
        <f>CX44*CR44</f>
        <v>1072.6193927819384</v>
      </c>
      <c r="DC44" s="31">
        <f t="shared" ref="DC44:DC61" si="246">$DB44*CY44</f>
        <v>76131.278959525938</v>
      </c>
      <c r="DD44" s="31">
        <f t="shared" ref="DD44:DD61" si="247">$DB44*CZ44</f>
        <v>7.8482601357866324</v>
      </c>
      <c r="DE44" s="31">
        <f t="shared" ref="DE44:DE61" si="248">$DB44*DA44</f>
        <v>0.65427750151248121</v>
      </c>
      <c r="DF44" s="655">
        <f>DC44+DD44*$DD$41+DE44*$DE$41</f>
        <v>76543.774869485293</v>
      </c>
      <c r="DG44">
        <v>2.34</v>
      </c>
      <c r="DH44">
        <f>DG44*CT44*CR44*1000000</f>
        <v>75543397.414890483</v>
      </c>
      <c r="DI44" s="419">
        <f>DH44/1000</f>
        <v>75543.397414890482</v>
      </c>
      <c r="DJ44">
        <v>211</v>
      </c>
      <c r="DK44" s="419">
        <f>DJ44/10^6*CR44*10^6</f>
        <v>85147.739607595562</v>
      </c>
      <c r="DM44"/>
      <c r="DN44" s="25" t="s">
        <v>388</v>
      </c>
      <c r="DO44" s="25" t="s">
        <v>389</v>
      </c>
      <c r="DP44" s="25" t="s">
        <v>390</v>
      </c>
      <c r="EJ44" t="s">
        <v>325</v>
      </c>
      <c r="EK44" t="s">
        <v>264</v>
      </c>
      <c r="EL44">
        <v>71.051104664576499</v>
      </c>
      <c r="EM44">
        <v>1.53682172957139E-2</v>
      </c>
      <c r="EN44">
        <v>8.2329735512008E-4</v>
      </c>
    </row>
    <row r="45" spans="1:285" ht="16.5" customHeight="1" thickBot="1" x14ac:dyDescent="1.2">
      <c r="A45" s="1161"/>
      <c r="B45" s="341" t="s">
        <v>321</v>
      </c>
      <c r="C45" s="342">
        <v>44536</v>
      </c>
      <c r="D45" s="343">
        <v>46730</v>
      </c>
      <c r="E45" s="344">
        <v>46157</v>
      </c>
      <c r="F45" s="345">
        <v>137423</v>
      </c>
      <c r="G45" s="382">
        <v>1171834.3797605773</v>
      </c>
      <c r="H45" s="1163"/>
      <c r="I45" s="362">
        <v>4.2941322794365501E-2</v>
      </c>
      <c r="J45" s="363">
        <v>0.12224950764667267</v>
      </c>
      <c r="K45" s="364">
        <v>9.5245667049713489E-2</v>
      </c>
      <c r="L45" s="365">
        <v>9.5245667049713489E-2</v>
      </c>
      <c r="M45" s="510">
        <v>8.8241662368212515E-2</v>
      </c>
      <c r="AD45" t="s">
        <v>958</v>
      </c>
      <c r="AG45" s="975">
        <v>2023</v>
      </c>
      <c r="AH45" s="976" t="s">
        <v>255</v>
      </c>
      <c r="AI45" s="976" t="s">
        <v>256</v>
      </c>
      <c r="AJ45" s="976" t="s">
        <v>257</v>
      </c>
      <c r="AK45" s="976" t="s">
        <v>258</v>
      </c>
      <c r="AL45" s="977" t="s">
        <v>259</v>
      </c>
      <c r="BK45" s="837"/>
      <c r="BN45" s="419"/>
      <c r="BP45" s="419"/>
      <c r="BQ45" s="419"/>
      <c r="BR45" s="419"/>
      <c r="BX45" s="947" t="s">
        <v>294</v>
      </c>
      <c r="BY45">
        <v>47</v>
      </c>
      <c r="BZ45">
        <f t="shared" ref="BZ45:BZ70" si="249">IFERROR(CC45*AL48/1000000,0)</f>
        <v>0.232039</v>
      </c>
      <c r="CA45" s="121">
        <f t="shared" ref="CA45:CA70" si="250">BZ45/$BZ$74</f>
        <v>9.057711436834838E-5</v>
      </c>
      <c r="CB45" s="930" t="s">
        <v>294</v>
      </c>
      <c r="CC45" s="930">
        <v>47</v>
      </c>
      <c r="CD45" s="930">
        <v>27</v>
      </c>
      <c r="CE45" s="930"/>
      <c r="CF45" s="930">
        <v>12.19</v>
      </c>
      <c r="CG45" s="931">
        <v>4451</v>
      </c>
      <c r="CI45" s="121">
        <f t="shared" ref="CI45:CI71" si="251">CC45/$CC$71</f>
        <v>2.5138260432378077E-4</v>
      </c>
      <c r="CJ45" s="121">
        <f t="shared" ref="CJ45:CJ48" si="252">CD45/CD66</f>
        <v>7.5630252100840331E-2</v>
      </c>
      <c r="CL45" s="31">
        <f t="shared" ref="CL45:CL70" si="253">CG45*CC45/1000000</f>
        <v>0.20919699999999999</v>
      </c>
      <c r="CM45" s="121">
        <f t="shared" ref="CM45:CM70" si="254">CL45/$CL$71</f>
        <v>8.0334016766093336E-5</v>
      </c>
      <c r="CP45" t="s">
        <v>302</v>
      </c>
      <c r="CQ45" s="147">
        <f>CM51</f>
        <v>0.27445750769342003</v>
      </c>
      <c r="CR45" s="31">
        <f t="shared" si="245"/>
        <v>304.04562207387551</v>
      </c>
      <c r="CS45">
        <v>10.5</v>
      </c>
      <c r="CT45">
        <f t="shared" ref="CT45:CT61" si="255">CS45/100</f>
        <v>0.105</v>
      </c>
      <c r="CU45">
        <v>0.86499999999999999</v>
      </c>
      <c r="CV45">
        <f t="shared" ref="CV45:CV61" si="256">CU45*CT45</f>
        <v>9.0824999999999989E-2</v>
      </c>
      <c r="CW45">
        <v>43</v>
      </c>
      <c r="CX45">
        <f t="shared" ref="CX45:CX61" si="257">CW45*CV45</f>
        <v>3.9054749999999996</v>
      </c>
      <c r="CY45">
        <v>74.054734089485606</v>
      </c>
      <c r="CZ45">
        <v>1.1457692289250001E-4</v>
      </c>
      <c r="DA45">
        <v>2.5659043229536902E-3</v>
      </c>
      <c r="DB45" s="31">
        <f t="shared" ref="DB45:DB61" si="258">CX45*CR45</f>
        <v>1187.4425758689688</v>
      </c>
      <c r="DC45" s="31">
        <f t="shared" si="246"/>
        <v>87935.744202510323</v>
      </c>
      <c r="DD45" s="31">
        <f t="shared" si="247"/>
        <v>0.13605351645461042</v>
      </c>
      <c r="DE45" s="31">
        <f t="shared" si="248"/>
        <v>3.0468640386814521</v>
      </c>
      <c r="DF45" s="655">
        <f t="shared" ref="DF45:DF61" si="259">DC45+DD45*$DD$41+DE45*$DE$41</f>
        <v>88771.592479860716</v>
      </c>
      <c r="DG45">
        <v>2.72</v>
      </c>
      <c r="DH45">
        <f t="shared" ref="DH45:DH61" si="260">DG45*CT45*CR45*1000000</f>
        <v>86835429.664298862</v>
      </c>
      <c r="DI45" s="419">
        <f t="shared" ref="DI45:DI61" si="261">DH45/1000</f>
        <v>86835.429664298863</v>
      </c>
      <c r="DJ45">
        <v>187.9</v>
      </c>
      <c r="DK45" s="419">
        <f t="shared" ref="DK45:DK61" si="262">DJ45/10^6*CR45*10^6</f>
        <v>57130.17238768121</v>
      </c>
      <c r="DM45"/>
      <c r="DN45"/>
      <c r="DO45"/>
      <c r="DP45"/>
      <c r="EK45" t="s">
        <v>302</v>
      </c>
      <c r="EL45">
        <v>74.054734089485507</v>
      </c>
      <c r="EM45">
        <v>1.4363980931045299E-3</v>
      </c>
      <c r="EN45">
        <v>3.0837733297494202E-3</v>
      </c>
    </row>
    <row r="46" spans="1:285" ht="16.5" customHeight="1" thickBot="1" x14ac:dyDescent="1.2">
      <c r="A46" s="1161"/>
      <c r="B46" s="341" t="s">
        <v>323</v>
      </c>
      <c r="C46" s="342">
        <v>45561</v>
      </c>
      <c r="D46" s="343">
        <v>47695</v>
      </c>
      <c r="E46" s="344">
        <v>46533</v>
      </c>
      <c r="F46" s="345">
        <v>139789</v>
      </c>
      <c r="G46" s="382">
        <v>1311623.3797605773</v>
      </c>
      <c r="H46" s="1163"/>
      <c r="I46" s="362">
        <v>5.1169881714945263E-2</v>
      </c>
      <c r="J46" s="363">
        <v>0.15561129460848835</v>
      </c>
      <c r="K46" s="364">
        <v>0.10973475517648246</v>
      </c>
      <c r="L46" s="365">
        <v>0.10973475517648246</v>
      </c>
      <c r="M46" s="510">
        <v>9.0492614729322796E-2</v>
      </c>
      <c r="S46" t="s">
        <v>344</v>
      </c>
      <c r="AB46" s="987" t="s">
        <v>762</v>
      </c>
      <c r="AC46" s="991" t="s">
        <v>704</v>
      </c>
      <c r="AG46" s="1232" t="s">
        <v>264</v>
      </c>
      <c r="AH46" s="1233"/>
      <c r="AI46" s="1233"/>
      <c r="AJ46" s="1233"/>
      <c r="AK46" s="1233"/>
      <c r="AL46" s="1234"/>
      <c r="AT46" t="s">
        <v>298</v>
      </c>
      <c r="AU46" t="s">
        <v>264</v>
      </c>
      <c r="AV46" s="147">
        <f>AR47</f>
        <v>0.30518999358090132</v>
      </c>
      <c r="AW46" s="31">
        <f t="shared" ref="AW46:AW63" si="263">AV46*$BT$44</f>
        <v>353.64344597963219</v>
      </c>
      <c r="AX46">
        <v>8</v>
      </c>
      <c r="AY46">
        <f t="shared" ref="AY46:AY63" si="264">AX46/100</f>
        <v>0.08</v>
      </c>
      <c r="AZ46">
        <v>0.75</v>
      </c>
      <c r="BA46">
        <f t="shared" ref="BA46:BA63" si="265">AZ46*AY46</f>
        <v>0.06</v>
      </c>
      <c r="BB46">
        <v>44.3</v>
      </c>
      <c r="BC46">
        <f t="shared" ref="BC46:BC63" si="266">BB46*BA46</f>
        <v>2.6579999999999999</v>
      </c>
      <c r="BD46">
        <v>72.335002492541093</v>
      </c>
      <c r="BE46">
        <v>7.1637159556547196E-3</v>
      </c>
      <c r="BF46">
        <v>4.7891015874360001E-4</v>
      </c>
      <c r="BG46" s="31">
        <f t="shared" ref="BG46:BG63" si="267">BC46*AW46</f>
        <v>939.98427941386228</v>
      </c>
      <c r="BH46" s="31">
        <f t="shared" ref="BH46:BH63" si="268">$BG46*BD46</f>
        <v>67993.765194351174</v>
      </c>
      <c r="BI46" s="31">
        <f t="shared" ref="BI46:BI63" si="269">$BG46*BE46</f>
        <v>6.7337803805016891</v>
      </c>
      <c r="BJ46" s="31">
        <f t="shared" ref="BJ46:BJ63" si="270">$BG46*BF46</f>
        <v>0.45016802047058124</v>
      </c>
      <c r="BK46" s="655">
        <f>BH46+BI46*$BI$43+BJ46*$BJ$43</f>
        <v>68317.32771927859</v>
      </c>
      <c r="BL46">
        <v>2.34</v>
      </c>
      <c r="BM46">
        <f t="shared" ref="BM46:BM63" si="271">BL46*AY46*AW46*1000000</f>
        <v>66202053.087387145</v>
      </c>
      <c r="BN46" s="419">
        <f t="shared" ref="BN46:BN63" si="272">BM46/1000</f>
        <v>66202.053087387147</v>
      </c>
      <c r="BO46">
        <v>207</v>
      </c>
      <c r="BP46" s="419">
        <f t="shared" ref="BP46:BP63" si="273">BO46/10^6*AW46*10^6</f>
        <v>73204.193317783851</v>
      </c>
      <c r="BQ46" s="419"/>
      <c r="BR46" s="419"/>
      <c r="BT46" s="25" t="s">
        <v>1019</v>
      </c>
      <c r="BU46" s="25" t="s">
        <v>1020</v>
      </c>
      <c r="BV46" s="25" t="s">
        <v>1021</v>
      </c>
      <c r="BX46" s="947" t="s">
        <v>296</v>
      </c>
      <c r="BY46">
        <v>2765</v>
      </c>
      <c r="BZ46">
        <f t="shared" si="249"/>
        <v>0</v>
      </c>
      <c r="CA46" s="121">
        <f t="shared" si="250"/>
        <v>0</v>
      </c>
      <c r="CB46" s="932" t="s">
        <v>297</v>
      </c>
      <c r="CC46" s="932">
        <v>0</v>
      </c>
      <c r="CD46" s="932">
        <v>1</v>
      </c>
      <c r="CE46" s="932"/>
      <c r="CF46" s="932" t="s">
        <v>184</v>
      </c>
      <c r="CG46" s="932" t="s">
        <v>184</v>
      </c>
      <c r="CI46" s="121">
        <f t="shared" si="251"/>
        <v>0</v>
      </c>
      <c r="CJ46" s="121">
        <f t="shared" si="252"/>
        <v>1.6313213703099511E-3</v>
      </c>
      <c r="CL46" s="31"/>
      <c r="CM46" s="121"/>
      <c r="CP46" t="s">
        <v>334</v>
      </c>
      <c r="CQ46" s="147">
        <f t="shared" ref="CQ46:CQ51" si="274">CM58</f>
        <v>6.6471155775341795E-2</v>
      </c>
      <c r="CR46" s="31">
        <f t="shared" si="245"/>
        <v>73.637132675047638</v>
      </c>
      <c r="CS46">
        <v>0</v>
      </c>
      <c r="CT46">
        <f t="shared" si="255"/>
        <v>0</v>
      </c>
      <c r="CU46">
        <v>0</v>
      </c>
      <c r="CV46">
        <f t="shared" si="256"/>
        <v>0</v>
      </c>
      <c r="CW46">
        <v>0</v>
      </c>
      <c r="CX46">
        <f t="shared" si="257"/>
        <v>0</v>
      </c>
      <c r="CY46">
        <v>70.9769741921898</v>
      </c>
      <c r="CZ46">
        <v>7.3169105356480999E-3</v>
      </c>
      <c r="DA46">
        <v>6.0998104818480998E-4</v>
      </c>
      <c r="DB46" s="31">
        <f t="shared" si="258"/>
        <v>0</v>
      </c>
      <c r="DC46" s="31">
        <f t="shared" si="246"/>
        <v>0</v>
      </c>
      <c r="DD46" s="31">
        <f t="shared" si="247"/>
        <v>0</v>
      </c>
      <c r="DE46" s="31">
        <f t="shared" si="248"/>
        <v>0</v>
      </c>
      <c r="DF46" s="655">
        <f t="shared" si="259"/>
        <v>0</v>
      </c>
      <c r="DG46">
        <v>2.34</v>
      </c>
      <c r="DH46">
        <f t="shared" si="260"/>
        <v>0</v>
      </c>
      <c r="DI46" s="419">
        <f t="shared" si="261"/>
        <v>0</v>
      </c>
      <c r="DJ46">
        <v>0</v>
      </c>
      <c r="DK46" s="419">
        <f t="shared" si="262"/>
        <v>0</v>
      </c>
      <c r="DM46" t="s">
        <v>223</v>
      </c>
      <c r="DN46" s="31">
        <f>SUM(DF44:DF51)</f>
        <v>180177.72222401455</v>
      </c>
      <c r="DO46" s="31">
        <f>SUM(DI44:DI51)</f>
        <v>187521.83481386103</v>
      </c>
      <c r="DP46">
        <f>SUM(DK44:DK51)</f>
        <v>158913.03253874191</v>
      </c>
      <c r="EJ46" t="s">
        <v>305</v>
      </c>
      <c r="EK46" t="s">
        <v>264</v>
      </c>
      <c r="EL46">
        <v>71.051977446800905</v>
      </c>
      <c r="EM46">
        <v>6.0214126798913805E-3</v>
      </c>
      <c r="EN46">
        <v>1.2119593011540399E-3</v>
      </c>
    </row>
    <row r="47" spans="1:285" ht="16.5" customHeight="1" thickBot="1" x14ac:dyDescent="1.2">
      <c r="A47" s="1161"/>
      <c r="B47" s="511" t="s">
        <v>326</v>
      </c>
      <c r="C47" s="342">
        <v>45586</v>
      </c>
      <c r="D47" s="343">
        <v>48466</v>
      </c>
      <c r="E47" s="344">
        <v>45560</v>
      </c>
      <c r="F47" s="345">
        <v>139612</v>
      </c>
      <c r="G47" s="382">
        <v>1451235.3797605773</v>
      </c>
      <c r="H47" s="1163"/>
      <c r="I47" s="362">
        <v>5.4889619104919699E-2</v>
      </c>
      <c r="J47" s="363">
        <v>0.17577659022705036</v>
      </c>
      <c r="K47" s="364">
        <v>0.12835231554775062</v>
      </c>
      <c r="L47" s="365">
        <v>0.12835231554775062</v>
      </c>
      <c r="M47" s="510">
        <v>9.4023992595968719E-2</v>
      </c>
      <c r="R47">
        <v>2019</v>
      </c>
      <c r="AB47" s="988" t="s">
        <v>264</v>
      </c>
      <c r="AC47" s="989">
        <v>85128</v>
      </c>
      <c r="AE47">
        <f>SUM(AE48:AE52)</f>
        <v>47000</v>
      </c>
      <c r="AG47" s="978" t="s">
        <v>223</v>
      </c>
      <c r="AH47" s="979">
        <f t="shared" ref="AH47:AH52" si="275">SUMIF($AB$48:$AB$52,AG47,$AD$48:$AD$52)</f>
        <v>37095</v>
      </c>
      <c r="AI47" s="979">
        <v>29380</v>
      </c>
      <c r="AJ47" s="978"/>
      <c r="AK47" s="978">
        <v>30.13</v>
      </c>
      <c r="AL47" s="980">
        <v>10997</v>
      </c>
      <c r="AN47" s="121">
        <f t="shared" ref="AN47:AO52" si="276">AH47/AH68</f>
        <v>0.42688470257891525</v>
      </c>
      <c r="AO47" s="121">
        <f t="shared" si="276"/>
        <v>0.55909722354374014</v>
      </c>
      <c r="AP47">
        <f t="shared" ref="AP47:AP73" si="277">IFERROR(AH47*AL47/1000000,0)</f>
        <v>407.93371500000001</v>
      </c>
      <c r="AR47" s="121">
        <f t="shared" ref="AR47:AR73" si="278">AP47/$AP$74</f>
        <v>0.30518999358090132</v>
      </c>
      <c r="AU47" t="s">
        <v>302</v>
      </c>
      <c r="AV47" s="147">
        <f>AR54</f>
        <v>0.27578430360922135</v>
      </c>
      <c r="AW47" s="31">
        <f t="shared" si="263"/>
        <v>319.56916519808698</v>
      </c>
      <c r="AX47">
        <v>10.5</v>
      </c>
      <c r="AY47">
        <f t="shared" si="264"/>
        <v>0.105</v>
      </c>
      <c r="AZ47">
        <v>0.86499999999999999</v>
      </c>
      <c r="BA47">
        <f t="shared" si="265"/>
        <v>9.0824999999999989E-2</v>
      </c>
      <c r="BB47">
        <v>43</v>
      </c>
      <c r="BC47">
        <f t="shared" si="266"/>
        <v>3.9054749999999996</v>
      </c>
      <c r="BD47">
        <v>73.510933419407607</v>
      </c>
      <c r="BE47">
        <v>5.406312413867E-5</v>
      </c>
      <c r="BF47">
        <v>2.5456284629589302E-3</v>
      </c>
      <c r="BG47" s="31">
        <f t="shared" si="267"/>
        <v>1248.0693854519986</v>
      </c>
      <c r="BH47" s="31">
        <f t="shared" si="268"/>
        <v>91746.745496762844</v>
      </c>
      <c r="BI47" s="31">
        <f t="shared" si="269"/>
        <v>6.7474530119364981E-2</v>
      </c>
      <c r="BJ47" s="31">
        <f t="shared" si="270"/>
        <v>3.1771209513542678</v>
      </c>
      <c r="BK47" s="655">
        <f t="shared" ref="BK47:BK63" si="279">BH47+BI47*$DD$8+BJ47*$DE$8</f>
        <v>92590.571835715076</v>
      </c>
      <c r="BL47">
        <v>2.72</v>
      </c>
      <c r="BM47">
        <f t="shared" si="271"/>
        <v>91268953.580573648</v>
      </c>
      <c r="BN47" s="419">
        <f t="shared" si="272"/>
        <v>91268.953580573652</v>
      </c>
      <c r="BO47">
        <v>188</v>
      </c>
      <c r="BP47" s="419">
        <f t="shared" si="273"/>
        <v>60079.003057240348</v>
      </c>
      <c r="BQ47" s="419"/>
      <c r="BR47" s="419"/>
      <c r="BX47" s="947" t="s">
        <v>305</v>
      </c>
      <c r="BY47">
        <v>240</v>
      </c>
      <c r="BZ47">
        <f t="shared" si="249"/>
        <v>26.181785000000001</v>
      </c>
      <c r="CA47" s="121">
        <f t="shared" si="250"/>
        <v>1.0220137710955953E-2</v>
      </c>
      <c r="CB47" s="930" t="s">
        <v>301</v>
      </c>
      <c r="CC47" s="930">
        <v>2765</v>
      </c>
      <c r="CD47" s="933">
        <v>1392</v>
      </c>
      <c r="CE47" s="930"/>
      <c r="CF47" s="930">
        <v>32.28</v>
      </c>
      <c r="CG47" s="931">
        <v>11782</v>
      </c>
      <c r="CI47" s="121">
        <f t="shared" si="251"/>
        <v>1.478878512670753E-2</v>
      </c>
      <c r="CJ47" s="121">
        <f t="shared" si="252"/>
        <v>0.15591397849462366</v>
      </c>
      <c r="CL47" s="31">
        <f t="shared" si="253"/>
        <v>32.57723</v>
      </c>
      <c r="CM47" s="121">
        <f t="shared" si="254"/>
        <v>1.2510025196407591E-2</v>
      </c>
      <c r="CP47" t="s">
        <v>335</v>
      </c>
      <c r="CQ47" s="147">
        <f t="shared" si="274"/>
        <v>3.4045610604671449E-2</v>
      </c>
      <c r="CR47" s="31">
        <f t="shared" si="245"/>
        <v>37.715925289044051</v>
      </c>
      <c r="CS47">
        <v>5</v>
      </c>
      <c r="CT47">
        <f t="shared" si="255"/>
        <v>0.05</v>
      </c>
      <c r="CU47">
        <v>0.75</v>
      </c>
      <c r="CV47">
        <f t="shared" si="256"/>
        <v>3.7500000000000006E-2</v>
      </c>
      <c r="CW47">
        <v>44.3</v>
      </c>
      <c r="CX47">
        <f t="shared" si="257"/>
        <v>1.6612500000000001</v>
      </c>
      <c r="CY47">
        <v>70.9769741921898</v>
      </c>
      <c r="CZ47">
        <v>7.3169105356480999E-3</v>
      </c>
      <c r="DA47">
        <v>6.0998104818480998E-4</v>
      </c>
      <c r="DB47" s="31">
        <f t="shared" si="258"/>
        <v>62.655580886424431</v>
      </c>
      <c r="DC47" s="31">
        <f t="shared" si="246"/>
        <v>4447.1035475724075</v>
      </c>
      <c r="DD47" s="31">
        <f t="shared" si="247"/>
        <v>0.45844527990503064</v>
      </c>
      <c r="DE47" s="31">
        <f t="shared" si="248"/>
        <v>3.821871690372932E-2</v>
      </c>
      <c r="DF47" s="655">
        <f t="shared" si="259"/>
        <v>4471.1989266282953</v>
      </c>
      <c r="DG47">
        <v>3.34</v>
      </c>
      <c r="DH47">
        <f t="shared" si="260"/>
        <v>6298559.5232703565</v>
      </c>
      <c r="DI47" s="419">
        <f t="shared" si="261"/>
        <v>6298.5595232703563</v>
      </c>
      <c r="DJ47">
        <v>138.4</v>
      </c>
      <c r="DK47" s="419">
        <f t="shared" si="262"/>
        <v>5219.8840600036965</v>
      </c>
      <c r="DM47" t="s">
        <v>309</v>
      </c>
      <c r="DN47" s="31">
        <f>SUM(DF52:DF53)</f>
        <v>1378.7855468205635</v>
      </c>
      <c r="DO47" s="31">
        <f>SUM(DI52:DI53)</f>
        <v>1338.6709061256106</v>
      </c>
      <c r="DP47" s="31">
        <f>SUM(DK52:DK53)</f>
        <v>1310.1585168229622</v>
      </c>
      <c r="EK47" t="s">
        <v>302</v>
      </c>
      <c r="EL47">
        <v>74.054734089485805</v>
      </c>
      <c r="EM47">
        <v>1.0094332347649E-4</v>
      </c>
      <c r="EN47">
        <v>2.0471581355555601E-3</v>
      </c>
    </row>
    <row r="48" spans="1:285" ht="16.5" customHeight="1" thickBot="1" x14ac:dyDescent="1.2">
      <c r="A48" s="1227"/>
      <c r="B48" s="515" t="s">
        <v>327</v>
      </c>
      <c r="C48" s="350">
        <v>41950</v>
      </c>
      <c r="D48" s="351">
        <v>46794</v>
      </c>
      <c r="E48" s="352">
        <v>42143</v>
      </c>
      <c r="F48" s="386">
        <v>130887</v>
      </c>
      <c r="G48" s="382">
        <v>1582122.3797605773</v>
      </c>
      <c r="H48" s="1163"/>
      <c r="I48" s="516">
        <v>-1.3683814539640741E-2</v>
      </c>
      <c r="J48" s="517">
        <v>8.2421533877844552E-2</v>
      </c>
      <c r="K48" s="518">
        <v>5.3526727142477748E-2</v>
      </c>
      <c r="L48" s="369">
        <v>5.3526727142477748E-2</v>
      </c>
      <c r="M48" s="519">
        <v>9.0555949130175284E-2</v>
      </c>
      <c r="AB48" s="992" t="s">
        <v>223</v>
      </c>
      <c r="AC48" s="986">
        <v>82073</v>
      </c>
      <c r="AD48">
        <v>37095</v>
      </c>
      <c r="AE48">
        <v>45381</v>
      </c>
      <c r="AG48" s="981" t="s">
        <v>294</v>
      </c>
      <c r="AH48" s="981">
        <f t="shared" si="275"/>
        <v>8</v>
      </c>
      <c r="AI48" s="981">
        <v>16</v>
      </c>
      <c r="AJ48" s="981"/>
      <c r="AK48" s="981">
        <v>13.53</v>
      </c>
      <c r="AL48" s="982">
        <v>4937</v>
      </c>
      <c r="AN48" s="121">
        <f t="shared" si="276"/>
        <v>4.7337278106508875E-2</v>
      </c>
      <c r="AO48" s="121">
        <f t="shared" si="276"/>
        <v>8.5106382978723402E-2</v>
      </c>
      <c r="AP48">
        <f t="shared" si="277"/>
        <v>3.9496000000000003E-2</v>
      </c>
      <c r="AR48" s="121">
        <f t="shared" si="278"/>
        <v>2.9548388728966123E-5</v>
      </c>
      <c r="AU48" t="s">
        <v>334</v>
      </c>
      <c r="AV48" s="147">
        <f>AR61</f>
        <v>0.10624621875113875</v>
      </c>
      <c r="AW48" s="31">
        <f t="shared" si="263"/>
        <v>123.11438681392548</v>
      </c>
      <c r="AX48">
        <v>0</v>
      </c>
      <c r="AY48">
        <f t="shared" si="264"/>
        <v>0</v>
      </c>
      <c r="BA48">
        <f t="shared" si="265"/>
        <v>0</v>
      </c>
      <c r="BB48">
        <v>0</v>
      </c>
      <c r="BC48">
        <f t="shared" si="266"/>
        <v>0</v>
      </c>
      <c r="BD48">
        <v>72.335002492541093</v>
      </c>
      <c r="BE48">
        <v>7.1637159556547196E-3</v>
      </c>
      <c r="BF48">
        <v>4.7891015874360001E-4</v>
      </c>
      <c r="BG48" s="31">
        <f t="shared" si="267"/>
        <v>0</v>
      </c>
      <c r="BH48" s="31">
        <f t="shared" si="268"/>
        <v>0</v>
      </c>
      <c r="BI48" s="31">
        <f t="shared" si="269"/>
        <v>0</v>
      </c>
      <c r="BJ48" s="31">
        <f t="shared" si="270"/>
        <v>0</v>
      </c>
      <c r="BK48" s="655">
        <f t="shared" si="279"/>
        <v>0</v>
      </c>
      <c r="BL48">
        <v>2.34</v>
      </c>
      <c r="BM48">
        <f t="shared" si="271"/>
        <v>0</v>
      </c>
      <c r="BN48" s="419">
        <f t="shared" si="272"/>
        <v>0</v>
      </c>
      <c r="BO48">
        <v>0</v>
      </c>
      <c r="BP48" s="419">
        <f t="shared" si="273"/>
        <v>0</v>
      </c>
      <c r="BQ48" s="419"/>
      <c r="BR48" s="419"/>
      <c r="BS48" t="s">
        <v>223</v>
      </c>
      <c r="BT48" s="31">
        <f>SUM(BK46:BK53)</f>
        <v>182631.6253205798</v>
      </c>
      <c r="BU48" s="31">
        <f>SUM(BN46:BN53)</f>
        <v>192602.06929692475</v>
      </c>
      <c r="BV48">
        <f>SUM(BP46:BP53)</f>
        <v>158116.89292667239</v>
      </c>
      <c r="BX48" s="947" t="s">
        <v>308</v>
      </c>
      <c r="BY48">
        <v>3</v>
      </c>
      <c r="BZ48">
        <f t="shared" si="249"/>
        <v>0.72887999999999997</v>
      </c>
      <c r="CA48" s="121">
        <f t="shared" si="250"/>
        <v>2.8452047768177659E-4</v>
      </c>
      <c r="CB48" s="932" t="s">
        <v>305</v>
      </c>
      <c r="CC48" s="932">
        <v>240</v>
      </c>
      <c r="CD48" s="932">
        <v>72</v>
      </c>
      <c r="CE48" s="932"/>
      <c r="CF48" s="932">
        <v>13.58</v>
      </c>
      <c r="CG48" s="934">
        <v>4957</v>
      </c>
      <c r="CI48" s="121">
        <f t="shared" si="251"/>
        <v>1.2836558518661146E-3</v>
      </c>
      <c r="CJ48" s="121">
        <f t="shared" si="252"/>
        <v>4.2007001166861145E-2</v>
      </c>
      <c r="CL48" s="31">
        <f t="shared" si="253"/>
        <v>1.1896800000000001</v>
      </c>
      <c r="CM48" s="121">
        <f t="shared" si="254"/>
        <v>4.5685059090850211E-4</v>
      </c>
      <c r="CP48" t="s">
        <v>336</v>
      </c>
      <c r="CQ48" s="147">
        <f t="shared" si="274"/>
        <v>7.0372965033900031E-2</v>
      </c>
      <c r="CR48" s="31">
        <f t="shared" si="245"/>
        <v>77.959579647630079</v>
      </c>
      <c r="CS48">
        <v>5</v>
      </c>
      <c r="CT48">
        <f t="shared" si="255"/>
        <v>0.05</v>
      </c>
      <c r="CU48">
        <v>0.75</v>
      </c>
      <c r="CV48">
        <f t="shared" si="256"/>
        <v>3.7500000000000006E-2</v>
      </c>
      <c r="CW48">
        <v>44.3</v>
      </c>
      <c r="CX48">
        <f t="shared" si="257"/>
        <v>1.6612500000000001</v>
      </c>
      <c r="CY48">
        <v>70.9769741921898</v>
      </c>
      <c r="CZ48">
        <v>7.3169105356480999E-3</v>
      </c>
      <c r="DA48">
        <v>6.0998104818480998E-4</v>
      </c>
      <c r="DB48" s="31">
        <f t="shared" si="258"/>
        <v>129.51035168962548</v>
      </c>
      <c r="DC48" s="31">
        <f t="shared" si="246"/>
        <v>9192.2528894959723</v>
      </c>
      <c r="DD48" s="31">
        <f t="shared" si="247"/>
        <v>0.94761565675331139</v>
      </c>
      <c r="DE48" s="31">
        <f t="shared" si="248"/>
        <v>7.8998860074421126E-2</v>
      </c>
      <c r="DF48" s="655">
        <f t="shared" si="259"/>
        <v>9242.0585248675379</v>
      </c>
      <c r="DG48">
        <v>4.34</v>
      </c>
      <c r="DH48">
        <f t="shared" si="260"/>
        <v>16917228.783535726</v>
      </c>
      <c r="DI48" s="419">
        <f t="shared" si="261"/>
        <v>16917.228783535727</v>
      </c>
      <c r="DJ48">
        <v>138.4</v>
      </c>
      <c r="DK48" s="419">
        <f t="shared" si="262"/>
        <v>10789.605823232003</v>
      </c>
      <c r="DM48" t="s">
        <v>318</v>
      </c>
      <c r="DN48" s="31">
        <f>SUM(DF54:DF55)</f>
        <v>37017.839472455307</v>
      </c>
      <c r="DO48" s="31">
        <f>SUM(DI54:DI55)</f>
        <v>36244.924948042069</v>
      </c>
      <c r="DP48" s="31">
        <f>SUM(DK54:DK55)</f>
        <v>25673.43760314153</v>
      </c>
      <c r="EJ48" t="s">
        <v>308</v>
      </c>
      <c r="EK48" t="s">
        <v>264</v>
      </c>
      <c r="EL48">
        <v>71.051104664576499</v>
      </c>
      <c r="EM48">
        <v>1.53682172957139E-2</v>
      </c>
      <c r="EN48">
        <v>8.2329735512008E-4</v>
      </c>
    </row>
    <row r="49" spans="1:144" ht="16.5" customHeight="1" thickBot="1" x14ac:dyDescent="1.2">
      <c r="A49" s="514" t="s">
        <v>329</v>
      </c>
      <c r="B49" s="370"/>
      <c r="C49" s="356">
        <v>42987.916666666664</v>
      </c>
      <c r="D49" s="356">
        <v>44670.531646714786</v>
      </c>
      <c r="E49" s="356">
        <v>44185.083333333336</v>
      </c>
      <c r="F49" s="357">
        <v>131843.53164671478</v>
      </c>
      <c r="G49" s="357"/>
      <c r="H49" s="1164"/>
      <c r="I49" s="371">
        <v>5.768799480415443E-2</v>
      </c>
      <c r="J49" s="371">
        <v>8.7065624193268576E-2</v>
      </c>
      <c r="K49" s="372">
        <v>0.1283317877069976</v>
      </c>
      <c r="L49" s="373"/>
      <c r="M49" s="372">
        <v>9.0555949130175284E-2</v>
      </c>
      <c r="R49">
        <f>4773400   +   433300   +   218980   +   210070</f>
        <v>5635750</v>
      </c>
      <c r="T49">
        <v>1575223200</v>
      </c>
      <c r="AB49" s="992" t="s">
        <v>294</v>
      </c>
      <c r="AC49" s="986">
        <v>47</v>
      </c>
      <c r="AD49">
        <v>8</v>
      </c>
      <c r="AE49">
        <v>26</v>
      </c>
      <c r="AG49" s="981" t="s">
        <v>297</v>
      </c>
      <c r="AH49" s="981">
        <f t="shared" si="275"/>
        <v>0</v>
      </c>
      <c r="AI49" s="981">
        <v>2</v>
      </c>
      <c r="AJ49" s="981"/>
      <c r="AK49" s="981" t="s">
        <v>184</v>
      </c>
      <c r="AL49" s="981" t="s">
        <v>184</v>
      </c>
      <c r="AN49" s="121">
        <f t="shared" si="276"/>
        <v>0</v>
      </c>
      <c r="AO49" s="121">
        <f t="shared" si="276"/>
        <v>4.2553191489361703E-3</v>
      </c>
      <c r="AP49">
        <f t="shared" si="277"/>
        <v>0</v>
      </c>
      <c r="AR49" s="121">
        <f t="shared" si="278"/>
        <v>0</v>
      </c>
      <c r="AU49" s="904" t="s">
        <v>1032</v>
      </c>
      <c r="AV49" s="905">
        <f>AR66</f>
        <v>6.8137061203621856E-3</v>
      </c>
      <c r="AW49" s="906">
        <f t="shared" si="263"/>
        <v>7.8954833480103561</v>
      </c>
      <c r="AX49" s="903">
        <v>3</v>
      </c>
      <c r="AY49" s="903">
        <f t="shared" si="264"/>
        <v>0.03</v>
      </c>
      <c r="AZ49" s="903">
        <v>0.75</v>
      </c>
      <c r="BA49" s="903">
        <f t="shared" si="265"/>
        <v>2.2499999999999999E-2</v>
      </c>
      <c r="BB49" s="903">
        <v>44.3</v>
      </c>
      <c r="BC49" s="903">
        <f t="shared" si="266"/>
        <v>0.99674999999999991</v>
      </c>
      <c r="BD49" s="903">
        <v>72.335002492541093</v>
      </c>
      <c r="BE49" s="903">
        <v>7.1637159556547196E-3</v>
      </c>
      <c r="BF49" s="903">
        <v>4.7891015874360001E-4</v>
      </c>
      <c r="BG49" s="906">
        <f t="shared" si="267"/>
        <v>7.8698230271293221</v>
      </c>
      <c r="BH49" s="906">
        <f t="shared" si="268"/>
        <v>569.26366828325683</v>
      </c>
      <c r="BI49" s="906">
        <f t="shared" si="269"/>
        <v>5.6377176787625251E-2</v>
      </c>
      <c r="BJ49" s="906">
        <f t="shared" si="270"/>
        <v>3.7689381952065422E-3</v>
      </c>
      <c r="BK49" s="907">
        <f t="shared" si="279"/>
        <v>571.84099785504009</v>
      </c>
      <c r="BL49" s="903">
        <v>2.34</v>
      </c>
      <c r="BM49" s="903">
        <f t="shared" si="271"/>
        <v>554262.93103032699</v>
      </c>
      <c r="BN49" s="908">
        <f t="shared" si="272"/>
        <v>554.26293103032697</v>
      </c>
      <c r="BO49" s="903">
        <f>(2.6+207)/2</f>
        <v>104.8</v>
      </c>
      <c r="BP49" s="908">
        <f t="shared" si="273"/>
        <v>827.44665487148529</v>
      </c>
      <c r="BQ49" s="908"/>
      <c r="BR49" s="419"/>
      <c r="BS49" t="s">
        <v>309</v>
      </c>
      <c r="BT49" s="31">
        <f>SUM(BK54:BK55)</f>
        <v>829.85941022691816</v>
      </c>
      <c r="BU49" s="31">
        <f>SUM(BN54:BN55)</f>
        <v>788.03062587176282</v>
      </c>
      <c r="BV49" s="31">
        <f>SUM(BP54:BP55)</f>
        <v>604.35685672215368</v>
      </c>
      <c r="BX49" s="945" t="s">
        <v>763</v>
      </c>
      <c r="BY49" s="946">
        <v>1128</v>
      </c>
      <c r="BZ49">
        <f t="shared" si="249"/>
        <v>0</v>
      </c>
      <c r="CA49" s="121">
        <f t="shared" si="250"/>
        <v>0</v>
      </c>
      <c r="CB49" s="930" t="s">
        <v>308</v>
      </c>
      <c r="CC49" s="930">
        <v>3</v>
      </c>
      <c r="CD49" s="930">
        <v>2</v>
      </c>
      <c r="CE49" s="930"/>
      <c r="CF49" s="932" t="s">
        <v>184</v>
      </c>
      <c r="CG49" s="932" t="s">
        <v>184</v>
      </c>
      <c r="CI49" s="121"/>
      <c r="CJ49" s="121"/>
      <c r="CL49" s="31"/>
      <c r="CM49" s="121"/>
      <c r="CP49" t="s">
        <v>337</v>
      </c>
      <c r="CQ49" s="147">
        <f t="shared" si="274"/>
        <v>0</v>
      </c>
      <c r="CR49" s="31">
        <f t="shared" si="245"/>
        <v>0</v>
      </c>
      <c r="CS49">
        <v>5</v>
      </c>
      <c r="CT49">
        <f t="shared" si="255"/>
        <v>0.05</v>
      </c>
      <c r="CU49">
        <v>0.86499999999999999</v>
      </c>
      <c r="CV49">
        <f t="shared" si="256"/>
        <v>4.3250000000000004E-2</v>
      </c>
      <c r="CW49">
        <v>43</v>
      </c>
      <c r="CX49">
        <f t="shared" si="257"/>
        <v>1.8597500000000002</v>
      </c>
      <c r="CY49">
        <v>74.054734089485606</v>
      </c>
      <c r="CZ49">
        <v>1.1457692289250001E-4</v>
      </c>
      <c r="DA49">
        <v>2.5659043229536902E-3</v>
      </c>
      <c r="DB49" s="31">
        <f t="shared" si="258"/>
        <v>0</v>
      </c>
      <c r="DC49" s="31">
        <f t="shared" si="246"/>
        <v>0</v>
      </c>
      <c r="DD49" s="31">
        <f t="shared" si="247"/>
        <v>0</v>
      </c>
      <c r="DE49" s="31">
        <f t="shared" si="248"/>
        <v>0</v>
      </c>
      <c r="DF49" s="655">
        <f t="shared" si="259"/>
        <v>0</v>
      </c>
      <c r="DG49">
        <v>5.34</v>
      </c>
      <c r="DH49">
        <f t="shared" si="260"/>
        <v>0</v>
      </c>
      <c r="DI49" s="419">
        <f t="shared" si="261"/>
        <v>0</v>
      </c>
      <c r="DJ49">
        <v>138.4</v>
      </c>
      <c r="DK49" s="419">
        <f t="shared" si="262"/>
        <v>0</v>
      </c>
      <c r="DM49" t="s">
        <v>325</v>
      </c>
      <c r="DN49" s="31">
        <f>SUM(DF56:DF57)</f>
        <v>13251.680402715332</v>
      </c>
      <c r="DO49" s="31">
        <f>SUM(DI56:DI57)</f>
        <v>12931.384680436335</v>
      </c>
      <c r="DP49" s="31">
        <f>SUM(DK56:DK57)</f>
        <v>17950.299048424062</v>
      </c>
      <c r="EK49" t="s">
        <v>302</v>
      </c>
      <c r="EL49">
        <v>74.054734089485507</v>
      </c>
      <c r="EM49">
        <v>1.4363980931045299E-3</v>
      </c>
      <c r="EN49">
        <v>3.0837733297494202E-3</v>
      </c>
    </row>
    <row r="50" spans="1:144" ht="17" thickBot="1" x14ac:dyDescent="1.2">
      <c r="A50" s="1226">
        <v>2008</v>
      </c>
      <c r="B50" s="333" t="s">
        <v>295</v>
      </c>
      <c r="C50" s="334">
        <v>42079</v>
      </c>
      <c r="D50" s="335">
        <v>43928</v>
      </c>
      <c r="E50" s="336">
        <v>41438</v>
      </c>
      <c r="F50" s="337">
        <v>127445</v>
      </c>
      <c r="G50" s="381">
        <v>127445</v>
      </c>
      <c r="H50" s="1165" t="s">
        <v>338</v>
      </c>
      <c r="I50" s="360">
        <v>3.4746471253627106E-2</v>
      </c>
      <c r="J50" s="507">
        <v>9.337977255336552E-2</v>
      </c>
      <c r="K50" s="508">
        <v>8.0280400766270521E-2</v>
      </c>
      <c r="L50" s="361">
        <v>8.0280400766270521E-2</v>
      </c>
      <c r="M50" s="509">
        <v>8.0280400766270521E-2</v>
      </c>
      <c r="T50">
        <v>147168000</v>
      </c>
      <c r="AB50" s="992" t="s">
        <v>301</v>
      </c>
      <c r="AC50" s="986">
        <v>2765</v>
      </c>
      <c r="AD50">
        <v>989</v>
      </c>
      <c r="AE50">
        <v>1480</v>
      </c>
      <c r="AG50" s="981" t="s">
        <v>301</v>
      </c>
      <c r="AH50" s="981">
        <f t="shared" si="275"/>
        <v>989</v>
      </c>
      <c r="AI50" s="981">
        <v>698</v>
      </c>
      <c r="AJ50" s="981"/>
      <c r="AK50" s="981">
        <v>25.94</v>
      </c>
      <c r="AL50" s="982">
        <v>9469</v>
      </c>
      <c r="AN50" s="121">
        <f t="shared" si="276"/>
        <v>0.11928597274152695</v>
      </c>
      <c r="AO50" s="121">
        <f t="shared" si="276"/>
        <v>0.13761829652996846</v>
      </c>
      <c r="AP50">
        <f t="shared" si="277"/>
        <v>9.3648410000000002</v>
      </c>
      <c r="AR50" s="121">
        <f t="shared" si="278"/>
        <v>7.0061768850759529E-3</v>
      </c>
      <c r="AU50" t="s">
        <v>335</v>
      </c>
      <c r="AV50" s="147">
        <f>AR62</f>
        <v>5.9506434416012048E-2</v>
      </c>
      <c r="AW50" s="31">
        <f t="shared" si="263"/>
        <v>68.953966274982122</v>
      </c>
      <c r="AX50">
        <v>5</v>
      </c>
      <c r="AY50">
        <f t="shared" si="264"/>
        <v>0.05</v>
      </c>
      <c r="AZ50">
        <v>0.75</v>
      </c>
      <c r="BA50">
        <f t="shared" si="265"/>
        <v>3.7500000000000006E-2</v>
      </c>
      <c r="BB50">
        <v>44.3</v>
      </c>
      <c r="BC50">
        <f t="shared" si="266"/>
        <v>1.6612500000000001</v>
      </c>
      <c r="BD50">
        <v>72.335002492541093</v>
      </c>
      <c r="BE50">
        <v>7.1637159556547196E-3</v>
      </c>
      <c r="BF50">
        <v>4.7891015874360001E-4</v>
      </c>
      <c r="BG50" s="31">
        <f t="shared" si="267"/>
        <v>114.54977647431406</v>
      </c>
      <c r="BH50" s="31">
        <f t="shared" si="268"/>
        <v>8285.9583667895331</v>
      </c>
      <c r="BI50" s="31">
        <f t="shared" si="269"/>
        <v>0.82060206144572523</v>
      </c>
      <c r="BJ50" s="31">
        <f t="shared" si="270"/>
        <v>5.485905163535764E-2</v>
      </c>
      <c r="BK50" s="655">
        <f t="shared" si="279"/>
        <v>8323.4728731933828</v>
      </c>
      <c r="BL50">
        <v>3.34</v>
      </c>
      <c r="BM50">
        <f t="shared" si="271"/>
        <v>11515312.367922014</v>
      </c>
      <c r="BN50" s="419">
        <f t="shared" si="272"/>
        <v>11515.312367922013</v>
      </c>
      <c r="BO50">
        <v>137</v>
      </c>
      <c r="BP50" s="419">
        <f t="shared" si="273"/>
        <v>9446.6933796725516</v>
      </c>
      <c r="BQ50" s="419"/>
      <c r="BR50" s="419"/>
      <c r="BS50" t="s">
        <v>318</v>
      </c>
      <c r="BT50" s="31">
        <f>SUM(BK56:BK57)</f>
        <v>30317.705027629272</v>
      </c>
      <c r="BU50" s="31">
        <f>SUM(BN56:BN57)</f>
        <v>29631.372763022599</v>
      </c>
      <c r="BV50" s="31">
        <f>SUM(BP56:BP57)</f>
        <v>23608.874219309666</v>
      </c>
      <c r="BX50" s="947" t="s">
        <v>293</v>
      </c>
      <c r="BY50">
        <v>1088</v>
      </c>
      <c r="BZ50">
        <f t="shared" si="249"/>
        <v>0</v>
      </c>
      <c r="CA50" s="121">
        <f t="shared" si="250"/>
        <v>0</v>
      </c>
      <c r="CB50" s="1145" t="s">
        <v>312</v>
      </c>
      <c r="CC50" s="1146"/>
      <c r="CD50" s="1146"/>
      <c r="CE50" s="1146"/>
      <c r="CF50" s="1146"/>
      <c r="CG50" s="1147"/>
      <c r="CI50" s="121"/>
      <c r="CJ50" s="121"/>
      <c r="CL50" s="31"/>
      <c r="CM50" s="121"/>
      <c r="CP50" t="s">
        <v>339</v>
      </c>
      <c r="CQ50" s="147">
        <f t="shared" si="274"/>
        <v>3.9822957278196148E-3</v>
      </c>
      <c r="CR50" s="31">
        <f t="shared" si="245"/>
        <v>4.4116103509894247</v>
      </c>
      <c r="CS50">
        <v>5</v>
      </c>
      <c r="CT50">
        <f t="shared" si="255"/>
        <v>0.05</v>
      </c>
      <c r="CU50">
        <v>0.86499999999999999</v>
      </c>
      <c r="CV50">
        <f t="shared" si="256"/>
        <v>4.3250000000000004E-2</v>
      </c>
      <c r="CW50">
        <v>43</v>
      </c>
      <c r="CX50">
        <f t="shared" si="257"/>
        <v>1.8597500000000002</v>
      </c>
      <c r="CY50">
        <v>74.054734089485606</v>
      </c>
      <c r="CZ50">
        <v>1.1457692289250001E-4</v>
      </c>
      <c r="DA50">
        <v>2.5659043229536902E-3</v>
      </c>
      <c r="DB50" s="31">
        <f t="shared" si="258"/>
        <v>8.2044923502525844</v>
      </c>
      <c r="DC50" s="31">
        <f t="shared" si="246"/>
        <v>607.58149933717391</v>
      </c>
      <c r="DD50" s="31">
        <f t="shared" si="247"/>
        <v>9.4004548738699657E-4</v>
      </c>
      <c r="DE50" s="31">
        <f t="shared" si="248"/>
        <v>2.1051942389153588E-2</v>
      </c>
      <c r="DF50" s="655">
        <f t="shared" si="259"/>
        <v>613.35669296493688</v>
      </c>
      <c r="DG50">
        <v>6.34</v>
      </c>
      <c r="DH50">
        <f t="shared" si="260"/>
        <v>1398480.4812636476</v>
      </c>
      <c r="DI50" s="419">
        <f t="shared" si="261"/>
        <v>1398.4804812636476</v>
      </c>
      <c r="DJ50">
        <v>138.4</v>
      </c>
      <c r="DK50" s="419">
        <f t="shared" si="262"/>
        <v>610.56687257693636</v>
      </c>
      <c r="DM50" t="s">
        <v>305</v>
      </c>
      <c r="DN50" s="31">
        <f>SUM(DF58:DF59)</f>
        <v>10934.216889486634</v>
      </c>
      <c r="DO50" s="31">
        <f>SUM(DI58:DI59)</f>
        <v>10717.32972195304</v>
      </c>
      <c r="DP50" s="31">
        <f>SUM(DK58:DK59)</f>
        <v>11650.701066689457</v>
      </c>
    </row>
    <row r="51" spans="1:144" ht="17" thickBot="1" x14ac:dyDescent="1.2">
      <c r="A51" s="1161"/>
      <c r="B51" s="341" t="s">
        <v>299</v>
      </c>
      <c r="C51" s="342">
        <v>42211</v>
      </c>
      <c r="D51" s="343">
        <v>45714</v>
      </c>
      <c r="E51" s="344">
        <v>43597</v>
      </c>
      <c r="F51" s="345">
        <v>131522</v>
      </c>
      <c r="G51" s="382">
        <v>258967</v>
      </c>
      <c r="H51" s="1163"/>
      <c r="I51" s="362">
        <v>-9.9681020733652318E-3</v>
      </c>
      <c r="J51" s="363">
        <v>6.6045579029733958E-2</v>
      </c>
      <c r="K51" s="364">
        <v>5.1234094251550566E-2</v>
      </c>
      <c r="L51" s="365">
        <v>5.1234094251550566E-2</v>
      </c>
      <c r="M51" s="510">
        <v>6.5330788280690832E-2</v>
      </c>
      <c r="T51">
        <v>74306700</v>
      </c>
      <c r="AB51" s="992" t="s">
        <v>305</v>
      </c>
      <c r="AC51" s="986">
        <v>240</v>
      </c>
      <c r="AD51">
        <v>39</v>
      </c>
      <c r="AE51">
        <v>112</v>
      </c>
      <c r="AG51" s="981" t="s">
        <v>305</v>
      </c>
      <c r="AH51" s="981">
        <f t="shared" si="275"/>
        <v>39</v>
      </c>
      <c r="AI51" s="981">
        <v>34</v>
      </c>
      <c r="AJ51" s="981"/>
      <c r="AK51" s="981">
        <v>8.32</v>
      </c>
      <c r="AL51" s="982">
        <v>3037</v>
      </c>
      <c r="AN51" s="121">
        <f t="shared" si="276"/>
        <v>3.9156626506024098E-2</v>
      </c>
      <c r="AO51" s="121">
        <f t="shared" si="276"/>
        <v>3.6559139784946237E-2</v>
      </c>
      <c r="AP51">
        <f t="shared" si="277"/>
        <v>0.11844300000000001</v>
      </c>
      <c r="AR51" s="121">
        <f t="shared" si="278"/>
        <v>8.8611500056333156E-5</v>
      </c>
      <c r="AU51" t="s">
        <v>336</v>
      </c>
      <c r="AV51" s="147">
        <f>AR63</f>
        <v>9.1713286352193252E-2</v>
      </c>
      <c r="AW51" s="31">
        <f t="shared" si="263"/>
        <v>106.27413516134392</v>
      </c>
      <c r="AX51">
        <v>5</v>
      </c>
      <c r="AY51">
        <f t="shared" si="264"/>
        <v>0.05</v>
      </c>
      <c r="AZ51">
        <v>0.75</v>
      </c>
      <c r="BA51">
        <f t="shared" si="265"/>
        <v>3.7500000000000006E-2</v>
      </c>
      <c r="BB51">
        <v>44.3</v>
      </c>
      <c r="BC51">
        <f t="shared" si="266"/>
        <v>1.6612500000000001</v>
      </c>
      <c r="BD51">
        <v>72.335002492541093</v>
      </c>
      <c r="BE51">
        <v>7.1637159556547196E-3</v>
      </c>
      <c r="BF51">
        <v>4.7891015874360001E-4</v>
      </c>
      <c r="BG51" s="31">
        <f t="shared" si="267"/>
        <v>176.54790703678259</v>
      </c>
      <c r="BH51" s="31">
        <f t="shared" si="268"/>
        <v>12770.593295558581</v>
      </c>
      <c r="BI51" s="31">
        <f t="shared" si="269"/>
        <v>1.2647390585768457</v>
      </c>
      <c r="BJ51" s="31">
        <f t="shared" si="270"/>
        <v>8.455058618483588E-2</v>
      </c>
      <c r="BK51" s="655">
        <f t="shared" si="279"/>
        <v>12828.411894537714</v>
      </c>
      <c r="BL51">
        <v>4.34</v>
      </c>
      <c r="BM51">
        <f t="shared" si="271"/>
        <v>23061487.330011629</v>
      </c>
      <c r="BN51" s="419">
        <f t="shared" si="272"/>
        <v>23061.487330011627</v>
      </c>
      <c r="BO51">
        <v>137</v>
      </c>
      <c r="BP51" s="419">
        <f t="shared" si="273"/>
        <v>14559.556517104116</v>
      </c>
      <c r="BQ51" s="419"/>
      <c r="BR51" s="419"/>
      <c r="BS51" t="s">
        <v>325</v>
      </c>
      <c r="BT51" s="31">
        <f>SUM(BK58:BK59)</f>
        <v>16974.683111921619</v>
      </c>
      <c r="BU51" s="31">
        <f>SUM(BN58:BN59)</f>
        <v>16667.948094934534</v>
      </c>
      <c r="BV51" s="31">
        <f>SUM(BP58:BP59)</f>
        <v>22120.585880273622</v>
      </c>
      <c r="BX51" s="947" t="s">
        <v>294</v>
      </c>
      <c r="BY51">
        <v>1</v>
      </c>
      <c r="BZ51">
        <f t="shared" si="249"/>
        <v>714.71201799999994</v>
      </c>
      <c r="CA51" s="121">
        <f t="shared" si="250"/>
        <v>0.27898996373376483</v>
      </c>
      <c r="CB51" s="935" t="s">
        <v>223</v>
      </c>
      <c r="CC51" s="935">
        <f t="shared" ref="CC51:CC56" si="280">BY59</f>
        <v>45809</v>
      </c>
      <c r="CD51" s="936">
        <v>28789</v>
      </c>
      <c r="CE51" s="935"/>
      <c r="CF51" s="935">
        <v>42.74</v>
      </c>
      <c r="CG51" s="937">
        <v>15602</v>
      </c>
      <c r="CI51" s="121">
        <f t="shared" si="251"/>
        <v>0.24501246215889519</v>
      </c>
      <c r="CJ51" s="121">
        <f>CD51/CD65</f>
        <v>0.33128883774453394</v>
      </c>
      <c r="CL51" s="31">
        <f t="shared" si="253"/>
        <v>714.71201799999994</v>
      </c>
      <c r="CM51" s="121">
        <f t="shared" si="254"/>
        <v>0.27445750769342003</v>
      </c>
      <c r="CP51" t="s">
        <v>340</v>
      </c>
      <c r="CQ51" s="147">
        <f t="shared" si="274"/>
        <v>6.7989296923956126E-3</v>
      </c>
      <c r="CR51" s="31">
        <f t="shared" si="245"/>
        <v>7.5318938262388322</v>
      </c>
      <c r="CS51">
        <v>3</v>
      </c>
      <c r="CT51">
        <f t="shared" si="255"/>
        <v>0.03</v>
      </c>
      <c r="CU51">
        <v>0.75</v>
      </c>
      <c r="CV51">
        <f t="shared" si="256"/>
        <v>2.2499999999999999E-2</v>
      </c>
      <c r="CW51">
        <v>44.3</v>
      </c>
      <c r="CX51">
        <f t="shared" si="257"/>
        <v>0.99674999999999991</v>
      </c>
      <c r="CY51">
        <v>70.9769741921898</v>
      </c>
      <c r="CZ51">
        <v>7.3169105356480999E-3</v>
      </c>
      <c r="DA51">
        <v>6.0998104818480998E-4</v>
      </c>
      <c r="DB51" s="31">
        <f t="shared" si="258"/>
        <v>7.5074151713035553</v>
      </c>
      <c r="DC51" s="31">
        <f t="shared" si="246"/>
        <v>532.85361286366663</v>
      </c>
      <c r="DD51" s="31">
        <f t="shared" si="247"/>
        <v>5.4931085162395366E-2</v>
      </c>
      <c r="DE51" s="31">
        <f t="shared" si="248"/>
        <v>4.5793809753502876E-3</v>
      </c>
      <c r="DF51" s="655">
        <f t="shared" si="259"/>
        <v>535.74073020777666</v>
      </c>
      <c r="DG51">
        <v>2.34</v>
      </c>
      <c r="DH51">
        <f t="shared" si="260"/>
        <v>528738.94660196593</v>
      </c>
      <c r="DI51" s="419">
        <f t="shared" si="261"/>
        <v>528.73894660196595</v>
      </c>
      <c r="DJ51">
        <v>2</v>
      </c>
      <c r="DK51" s="419">
        <f t="shared" si="262"/>
        <v>15.063787652477664</v>
      </c>
      <c r="DM51" t="s">
        <v>308</v>
      </c>
      <c r="DN51" s="31">
        <f>SUM(DF60:DF61)</f>
        <v>26635.087719011917</v>
      </c>
      <c r="DO51" s="31">
        <f>SUM(DI60:DI61)</f>
        <v>25991.312409038605</v>
      </c>
      <c r="DP51" s="31">
        <f>SUM(DK60:DK61)</f>
        <v>28410.210606777826</v>
      </c>
    </row>
    <row r="52" spans="1:144" ht="17" thickBot="1" x14ac:dyDescent="1.2">
      <c r="A52" s="1161"/>
      <c r="B52" s="341" t="s">
        <v>303</v>
      </c>
      <c r="C52" s="342">
        <v>42884.551201761278</v>
      </c>
      <c r="D52" s="343">
        <v>44927</v>
      </c>
      <c r="E52" s="344">
        <v>43751</v>
      </c>
      <c r="F52" s="345">
        <v>131562.55120176129</v>
      </c>
      <c r="G52" s="382">
        <v>390529.55120176129</v>
      </c>
      <c r="H52" s="1163"/>
      <c r="I52" s="362">
        <v>-4.0850099488687834E-2</v>
      </c>
      <c r="J52" s="363">
        <v>2.8781715145672161E-2</v>
      </c>
      <c r="K52" s="364">
        <v>4.6163747290068891E-3</v>
      </c>
      <c r="L52" s="365">
        <v>4.6163747290068891E-3</v>
      </c>
      <c r="M52" s="510">
        <v>4.4073828752128952E-2</v>
      </c>
      <c r="T52">
        <v>10019250</v>
      </c>
      <c r="AB52" s="992" t="s">
        <v>308</v>
      </c>
      <c r="AC52" s="986">
        <v>3</v>
      </c>
      <c r="AD52">
        <v>1</v>
      </c>
      <c r="AE52">
        <v>1</v>
      </c>
      <c r="AG52" s="981" t="s">
        <v>308</v>
      </c>
      <c r="AH52" s="981">
        <f t="shared" si="275"/>
        <v>1</v>
      </c>
      <c r="AI52" s="981">
        <v>1</v>
      </c>
      <c r="AJ52" s="981"/>
      <c r="AK52" s="981" t="s">
        <v>184</v>
      </c>
      <c r="AL52" s="981" t="s">
        <v>184</v>
      </c>
      <c r="AN52" s="121">
        <f t="shared" si="276"/>
        <v>6.8306010928961749E-4</v>
      </c>
      <c r="AO52" s="121">
        <f t="shared" si="276"/>
        <v>7.776049766718507E-4</v>
      </c>
      <c r="AP52">
        <f t="shared" si="277"/>
        <v>0</v>
      </c>
      <c r="AR52" s="121">
        <f t="shared" si="278"/>
        <v>0</v>
      </c>
      <c r="AU52" t="s">
        <v>337</v>
      </c>
      <c r="AV52" s="147">
        <f>AR64</f>
        <v>0</v>
      </c>
      <c r="AW52" s="31">
        <f t="shared" si="263"/>
        <v>0</v>
      </c>
      <c r="AX52">
        <v>5</v>
      </c>
      <c r="AY52">
        <f t="shared" si="264"/>
        <v>0.05</v>
      </c>
      <c r="AZ52">
        <v>0.86499999999999999</v>
      </c>
      <c r="BA52">
        <f t="shared" si="265"/>
        <v>4.3250000000000004E-2</v>
      </c>
      <c r="BB52">
        <v>43</v>
      </c>
      <c r="BC52">
        <f t="shared" si="266"/>
        <v>1.8597500000000002</v>
      </c>
      <c r="BD52">
        <v>73.510933419407607</v>
      </c>
      <c r="BE52">
        <v>5.406312413867E-5</v>
      </c>
      <c r="BF52">
        <v>2.5456284629589302E-3</v>
      </c>
      <c r="BG52" s="31">
        <f t="shared" si="267"/>
        <v>0</v>
      </c>
      <c r="BH52" s="31">
        <f t="shared" si="268"/>
        <v>0</v>
      </c>
      <c r="BI52" s="31">
        <f t="shared" si="269"/>
        <v>0</v>
      </c>
      <c r="BJ52" s="31">
        <f t="shared" si="270"/>
        <v>0</v>
      </c>
      <c r="BK52" s="655">
        <f t="shared" si="279"/>
        <v>0</v>
      </c>
      <c r="BL52">
        <v>5.34</v>
      </c>
      <c r="BM52">
        <f t="shared" si="271"/>
        <v>0</v>
      </c>
      <c r="BN52" s="419">
        <f t="shared" si="272"/>
        <v>0</v>
      </c>
      <c r="BO52">
        <v>137</v>
      </c>
      <c r="BP52" s="419">
        <f t="shared" si="273"/>
        <v>0</v>
      </c>
      <c r="BQ52" s="419"/>
      <c r="BR52" s="419"/>
      <c r="BS52" t="s">
        <v>305</v>
      </c>
      <c r="BT52" s="31">
        <f>SUM(BK60:BK61)</f>
        <v>7581.8449523813397</v>
      </c>
      <c r="BU52" s="31">
        <f>SUM(BN60:BN61)</f>
        <v>7487.1056659179576</v>
      </c>
      <c r="BV52" s="31">
        <f>SUM(BP60:BP61)</f>
        <v>8416.2773670749684</v>
      </c>
      <c r="BX52" s="947" t="s">
        <v>296</v>
      </c>
      <c r="BY52">
        <v>39</v>
      </c>
      <c r="BZ52">
        <f t="shared" si="249"/>
        <v>10.902998</v>
      </c>
      <c r="CA52" s="121">
        <f t="shared" si="250"/>
        <v>4.2560177246233335E-3</v>
      </c>
      <c r="CB52" s="932" t="s">
        <v>294</v>
      </c>
      <c r="CC52" s="932">
        <f t="shared" si="280"/>
        <v>479</v>
      </c>
      <c r="CD52" s="932">
        <v>330</v>
      </c>
      <c r="CE52" s="932"/>
      <c r="CF52" s="932">
        <v>72.19</v>
      </c>
      <c r="CG52" s="934">
        <v>26351</v>
      </c>
      <c r="CI52" s="121">
        <f t="shared" si="251"/>
        <v>2.561963137682787E-3</v>
      </c>
      <c r="CJ52" s="121">
        <f t="shared" ref="CJ52:CJ56" si="281">CD52/CD66</f>
        <v>0.92436974789915971</v>
      </c>
      <c r="CL52" s="31">
        <f t="shared" si="253"/>
        <v>12.622128999999999</v>
      </c>
      <c r="CM52" s="121">
        <f t="shared" si="254"/>
        <v>4.8470404580839722E-3</v>
      </c>
      <c r="CO52" t="s">
        <v>309</v>
      </c>
      <c r="CP52" t="s">
        <v>264</v>
      </c>
      <c r="CQ52" s="147">
        <f>CM45</f>
        <v>8.0334016766093336E-5</v>
      </c>
      <c r="CR52" s="31">
        <f t="shared" si="245"/>
        <v>8.8994490646704852E-2</v>
      </c>
      <c r="CS52">
        <v>8</v>
      </c>
      <c r="CT52">
        <f t="shared" si="255"/>
        <v>0.08</v>
      </c>
      <c r="CU52">
        <v>0.86499999999999999</v>
      </c>
      <c r="CV52">
        <f t="shared" si="256"/>
        <v>6.9199999999999998E-2</v>
      </c>
      <c r="CW52">
        <v>44.3</v>
      </c>
      <c r="CX52">
        <f t="shared" si="257"/>
        <v>3.0655599999999996</v>
      </c>
      <c r="CY52">
        <v>70.9769741921898</v>
      </c>
      <c r="CZ52">
        <v>7.3169105356480999E-3</v>
      </c>
      <c r="DA52">
        <v>6.0998104818480998E-4</v>
      </c>
      <c r="DB52" s="31">
        <f t="shared" si="258"/>
        <v>0.27281795074691251</v>
      </c>
      <c r="DC52" s="31">
        <f t="shared" si="246"/>
        <v>19.363792649329717</v>
      </c>
      <c r="DD52" s="31">
        <f t="shared" si="247"/>
        <v>1.9961845381340085E-3</v>
      </c>
      <c r="DE52" s="31">
        <f t="shared" si="248"/>
        <v>1.6641377956023355E-4</v>
      </c>
      <c r="DF52" s="655">
        <f t="shared" si="259"/>
        <v>19.468709910386053</v>
      </c>
      <c r="DG52">
        <v>2.72</v>
      </c>
      <c r="DH52">
        <f t="shared" si="260"/>
        <v>19365.201164722977</v>
      </c>
      <c r="DI52" s="419">
        <f t="shared" si="261"/>
        <v>19.365201164722979</v>
      </c>
      <c r="DJ52">
        <v>271.3</v>
      </c>
      <c r="DK52" s="419">
        <f t="shared" si="262"/>
        <v>24.144205312451028</v>
      </c>
      <c r="DM52"/>
      <c r="DN52" s="655">
        <f>SUM(DN46:DN51)</f>
        <v>269395.33225450432</v>
      </c>
      <c r="DO52" s="655">
        <f t="shared" ref="DO52:DP52" si="282">SUM(DO46:DO51)</f>
        <v>274745.45747945673</v>
      </c>
      <c r="DP52" s="655">
        <f t="shared" si="282"/>
        <v>243907.83938059775</v>
      </c>
    </row>
    <row r="53" spans="1:144" ht="17" thickBot="1" x14ac:dyDescent="0.8">
      <c r="A53" s="1161"/>
      <c r="B53" s="341" t="s">
        <v>306</v>
      </c>
      <c r="C53" s="342">
        <v>45303</v>
      </c>
      <c r="D53" s="343">
        <v>48229</v>
      </c>
      <c r="E53" s="344">
        <v>47282</v>
      </c>
      <c r="F53" s="345">
        <v>140814</v>
      </c>
      <c r="G53" s="382">
        <v>531343.55120176123</v>
      </c>
      <c r="H53" s="1163"/>
      <c r="I53" s="362">
        <v>0.10156591936974177</v>
      </c>
      <c r="J53" s="363">
        <v>0.11558879739518203</v>
      </c>
      <c r="K53" s="364">
        <v>0.12055067043329482</v>
      </c>
      <c r="L53" s="365">
        <v>0.12055067043329482</v>
      </c>
      <c r="M53" s="510">
        <v>6.3305946464364826E-2</v>
      </c>
      <c r="T53">
        <f>SUM(T49:T52)</f>
        <v>1806717150</v>
      </c>
      <c r="AB53" s="988" t="s">
        <v>763</v>
      </c>
      <c r="AC53" s="989">
        <v>1128</v>
      </c>
      <c r="AG53" s="1235" t="s">
        <v>312</v>
      </c>
      <c r="AH53" s="1236"/>
      <c r="AI53" s="1236"/>
      <c r="AJ53" s="1236"/>
      <c r="AK53" s="1236"/>
      <c r="AL53" s="1237"/>
      <c r="AP53">
        <f t="shared" si="277"/>
        <v>0</v>
      </c>
      <c r="AR53" s="121">
        <f t="shared" si="278"/>
        <v>0</v>
      </c>
      <c r="AU53" t="s">
        <v>339</v>
      </c>
      <c r="AV53" s="147">
        <f>AR65</f>
        <v>0</v>
      </c>
      <c r="AW53" s="31">
        <f t="shared" si="263"/>
        <v>0</v>
      </c>
      <c r="AX53">
        <v>5</v>
      </c>
      <c r="AY53">
        <f t="shared" si="264"/>
        <v>0.05</v>
      </c>
      <c r="AZ53">
        <v>0.86499999999999999</v>
      </c>
      <c r="BA53">
        <f t="shared" si="265"/>
        <v>4.3250000000000004E-2</v>
      </c>
      <c r="BB53">
        <v>43</v>
      </c>
      <c r="BC53">
        <f t="shared" si="266"/>
        <v>1.8597500000000002</v>
      </c>
      <c r="BD53">
        <v>73.510933419407607</v>
      </c>
      <c r="BE53">
        <v>5.406312413867E-5</v>
      </c>
      <c r="BF53">
        <v>2.5456284629589302E-3</v>
      </c>
      <c r="BG53" s="31">
        <f t="shared" si="267"/>
        <v>0</v>
      </c>
      <c r="BH53" s="31">
        <f t="shared" si="268"/>
        <v>0</v>
      </c>
      <c r="BI53" s="31">
        <f t="shared" si="269"/>
        <v>0</v>
      </c>
      <c r="BJ53" s="31">
        <f t="shared" si="270"/>
        <v>0</v>
      </c>
      <c r="BK53" s="655">
        <f t="shared" si="279"/>
        <v>0</v>
      </c>
      <c r="BL53">
        <v>6.34</v>
      </c>
      <c r="BM53">
        <f t="shared" si="271"/>
        <v>0</v>
      </c>
      <c r="BN53" s="419">
        <f t="shared" si="272"/>
        <v>0</v>
      </c>
      <c r="BO53">
        <v>137</v>
      </c>
      <c r="BP53" s="419">
        <f t="shared" si="273"/>
        <v>0</v>
      </c>
      <c r="BQ53" s="419"/>
      <c r="BR53" s="419"/>
      <c r="BS53" t="s">
        <v>308</v>
      </c>
      <c r="BT53" s="31">
        <f>SUM(BK62:BK63)</f>
        <v>24701.273061063697</v>
      </c>
      <c r="BU53" s="31">
        <f>SUM(BN62:BN63)</f>
        <v>24254.917428853594</v>
      </c>
      <c r="BV53" s="31">
        <f>SUM(BP62:BP63)</f>
        <v>27314.853372156602</v>
      </c>
      <c r="BX53" s="945" t="s">
        <v>764</v>
      </c>
      <c r="BY53" s="946">
        <v>12533</v>
      </c>
      <c r="BZ53">
        <f t="shared" si="249"/>
        <v>61.582920000000001</v>
      </c>
      <c r="CA53" s="121">
        <f t="shared" si="250"/>
        <v>2.4039076137963224E-2</v>
      </c>
      <c r="CB53" s="930" t="s">
        <v>297</v>
      </c>
      <c r="CC53" s="930">
        <f t="shared" si="280"/>
        <v>1002</v>
      </c>
      <c r="CD53" s="930">
        <v>610</v>
      </c>
      <c r="CE53" s="930"/>
      <c r="CF53" s="930">
        <v>144</v>
      </c>
      <c r="CG53" s="931">
        <v>52560</v>
      </c>
      <c r="CI53" s="121">
        <f t="shared" si="251"/>
        <v>5.3592631815410291E-3</v>
      </c>
      <c r="CJ53" s="121">
        <f t="shared" si="281"/>
        <v>0.9951060358890701</v>
      </c>
      <c r="CL53" s="31">
        <f t="shared" si="253"/>
        <v>52.665120000000002</v>
      </c>
      <c r="CM53" s="121">
        <f t="shared" si="254"/>
        <v>2.0224002414319122E-2</v>
      </c>
      <c r="CP53" t="s">
        <v>302</v>
      </c>
      <c r="CQ53" s="147">
        <f>CM52</f>
        <v>4.8470404580839722E-3</v>
      </c>
      <c r="CR53" s="31">
        <f t="shared" si="245"/>
        <v>5.3695795887704021</v>
      </c>
      <c r="CS53">
        <v>10.5</v>
      </c>
      <c r="CT53">
        <f t="shared" si="255"/>
        <v>0.105</v>
      </c>
      <c r="CU53">
        <v>0.75</v>
      </c>
      <c r="CV53">
        <f t="shared" si="256"/>
        <v>7.8750000000000001E-2</v>
      </c>
      <c r="CW53">
        <v>43</v>
      </c>
      <c r="CX53">
        <f t="shared" si="257"/>
        <v>3.38625</v>
      </c>
      <c r="CY53">
        <v>74.054734089485606</v>
      </c>
      <c r="CZ53">
        <v>1.1457692289250001E-4</v>
      </c>
      <c r="DA53">
        <v>2.5659043229536902E-3</v>
      </c>
      <c r="DB53" s="31">
        <f t="shared" si="258"/>
        <v>18.182738882473775</v>
      </c>
      <c r="DC53" s="31">
        <f t="shared" si="246"/>
        <v>1346.5178929601461</v>
      </c>
      <c r="DD53" s="31">
        <f t="shared" si="247"/>
        <v>2.0833222709116593E-3</v>
      </c>
      <c r="DE53" s="31">
        <f t="shared" si="248"/>
        <v>4.665516830167761E-2</v>
      </c>
      <c r="DF53" s="655">
        <f t="shared" si="259"/>
        <v>1359.3168369101775</v>
      </c>
      <c r="DG53">
        <v>2.34</v>
      </c>
      <c r="DH53">
        <f t="shared" si="260"/>
        <v>1319305.7049608876</v>
      </c>
      <c r="DI53" s="419">
        <f t="shared" si="261"/>
        <v>1319.3057049608876</v>
      </c>
      <c r="DJ53">
        <v>239.5</v>
      </c>
      <c r="DK53" s="419">
        <f t="shared" si="262"/>
        <v>1286.0143115105111</v>
      </c>
      <c r="DM53"/>
      <c r="DN53"/>
      <c r="DO53"/>
      <c r="DP53"/>
    </row>
    <row r="54" spans="1:144" ht="17" thickBot="1" x14ac:dyDescent="1.2">
      <c r="A54" s="1161"/>
      <c r="B54" s="341" t="s">
        <v>310</v>
      </c>
      <c r="C54" s="342">
        <v>43400</v>
      </c>
      <c r="D54" s="343">
        <v>48148.221902515186</v>
      </c>
      <c r="E54" s="344">
        <v>47334</v>
      </c>
      <c r="F54" s="345">
        <v>138882.22190251519</v>
      </c>
      <c r="G54" s="382">
        <v>670225.77310427639</v>
      </c>
      <c r="H54" s="1163"/>
      <c r="I54" s="362">
        <v>-8.6797624486066698E-3</v>
      </c>
      <c r="J54" s="363">
        <v>3.236641221374046E-2</v>
      </c>
      <c r="K54" s="364">
        <v>3.5298753624868118E-2</v>
      </c>
      <c r="L54" s="365">
        <v>3.5298753624868118E-2</v>
      </c>
      <c r="M54" s="510">
        <v>5.7378605084240641E-2</v>
      </c>
      <c r="T54">
        <f>T53/1000000</f>
        <v>1806.7171499999999</v>
      </c>
      <c r="AB54" s="992" t="s">
        <v>223</v>
      </c>
      <c r="AC54" s="986">
        <v>1088</v>
      </c>
      <c r="AD54">
        <v>707</v>
      </c>
      <c r="AE54">
        <v>888</v>
      </c>
      <c r="AG54" s="978" t="s">
        <v>223</v>
      </c>
      <c r="AH54" s="978">
        <f t="shared" ref="AH54:AH59" si="283">SUMIF($AB$63:$AB$68,AG54,$AD$63:$AD$68)</f>
        <v>23627</v>
      </c>
      <c r="AI54" s="979">
        <v>16925</v>
      </c>
      <c r="AJ54" s="978"/>
      <c r="AK54" s="978">
        <v>42.74</v>
      </c>
      <c r="AL54" s="980">
        <v>15602</v>
      </c>
      <c r="AN54" s="994">
        <f t="shared" ref="AN54:AO59" si="284">AH54/AH68</f>
        <v>0.27189661323175712</v>
      </c>
      <c r="AO54" s="121">
        <f t="shared" si="284"/>
        <v>0.32208034405982988</v>
      </c>
      <c r="AP54">
        <f t="shared" si="277"/>
        <v>368.62845399999998</v>
      </c>
      <c r="AR54" s="121">
        <f t="shared" si="278"/>
        <v>0.27578430360922135</v>
      </c>
      <c r="AT54" t="s">
        <v>309</v>
      </c>
      <c r="AU54" t="s">
        <v>302</v>
      </c>
      <c r="AV54" s="147">
        <f>AR55</f>
        <v>2.7416813931548769E-3</v>
      </c>
      <c r="AW54" s="31">
        <f t="shared" si="263"/>
        <v>3.1769641077583652</v>
      </c>
      <c r="AX54">
        <v>10.5</v>
      </c>
      <c r="AY54">
        <f t="shared" si="264"/>
        <v>0.105</v>
      </c>
      <c r="AZ54">
        <v>0.75</v>
      </c>
      <c r="BA54">
        <f t="shared" si="265"/>
        <v>7.8750000000000001E-2</v>
      </c>
      <c r="BB54">
        <v>44.3</v>
      </c>
      <c r="BC54">
        <f t="shared" si="266"/>
        <v>3.4886249999999999</v>
      </c>
      <c r="BD54">
        <v>73.510933419407607</v>
      </c>
      <c r="BE54">
        <v>5.406312413867E-5</v>
      </c>
      <c r="BF54">
        <v>2.5456284629589302E-3</v>
      </c>
      <c r="BG54" s="31">
        <f t="shared" si="267"/>
        <v>11.083236410428526</v>
      </c>
      <c r="BH54" s="31">
        <f t="shared" si="268"/>
        <v>814.7390538385655</v>
      </c>
      <c r="BI54" s="31">
        <f t="shared" si="269"/>
        <v>5.9919438591522474E-4</v>
      </c>
      <c r="BJ54" s="31">
        <f t="shared" si="270"/>
        <v>2.821380206808962E-2</v>
      </c>
      <c r="BK54" s="655">
        <f t="shared" si="279"/>
        <v>822.23248882941482</v>
      </c>
      <c r="BL54">
        <v>2.34</v>
      </c>
      <c r="BM54">
        <f t="shared" si="271"/>
        <v>780580.08127623028</v>
      </c>
      <c r="BN54" s="419">
        <f t="shared" si="272"/>
        <v>780.58008127623032</v>
      </c>
      <c r="BO54">
        <v>188</v>
      </c>
      <c r="BP54" s="419">
        <f t="shared" si="273"/>
        <v>597.26925225857269</v>
      </c>
      <c r="BQ54" s="419"/>
      <c r="BR54" s="419"/>
      <c r="BT54" s="655">
        <f>SUM(BT48:BT53)</f>
        <v>263036.99088380265</v>
      </c>
      <c r="BU54" s="655">
        <f>SUM(BU48:BU53)</f>
        <v>271431.4438755252</v>
      </c>
      <c r="BV54" s="655">
        <f>SUM(BV48:BV53)</f>
        <v>240181.84062220939</v>
      </c>
      <c r="BX54" s="947" t="s">
        <v>293</v>
      </c>
      <c r="BY54">
        <v>12533</v>
      </c>
      <c r="BZ54">
        <f t="shared" si="249"/>
        <v>212.56773999999999</v>
      </c>
      <c r="CA54" s="121">
        <f t="shared" si="250"/>
        <v>8.2976450066589408E-2</v>
      </c>
      <c r="CB54" s="932" t="s">
        <v>301</v>
      </c>
      <c r="CC54" s="932">
        <f t="shared" si="280"/>
        <v>13580</v>
      </c>
      <c r="CD54" s="938">
        <v>7346</v>
      </c>
      <c r="CE54" s="932"/>
      <c r="CF54" s="932">
        <v>43.39</v>
      </c>
      <c r="CG54" s="934">
        <v>15838</v>
      </c>
      <c r="CI54" s="121">
        <f t="shared" si="251"/>
        <v>7.2633526951424318E-2</v>
      </c>
      <c r="CJ54" s="121">
        <f t="shared" si="281"/>
        <v>0.82280465949820791</v>
      </c>
      <c r="CL54" s="31">
        <f t="shared" si="253"/>
        <v>215.08004</v>
      </c>
      <c r="CM54" s="121">
        <f t="shared" si="254"/>
        <v>8.2593170740555666E-2</v>
      </c>
      <c r="CO54" t="s">
        <v>318</v>
      </c>
      <c r="CP54" t="s">
        <v>264</v>
      </c>
      <c r="CQ54" s="147">
        <f>CM47</f>
        <v>1.2510025196407591E-2</v>
      </c>
      <c r="CR54" s="31">
        <f t="shared" si="245"/>
        <v>13.858678616474197</v>
      </c>
      <c r="CS54">
        <v>12</v>
      </c>
      <c r="CT54">
        <f t="shared" si="255"/>
        <v>0.12</v>
      </c>
      <c r="CU54">
        <v>0.75</v>
      </c>
      <c r="CV54">
        <f t="shared" si="256"/>
        <v>0.09</v>
      </c>
      <c r="CW54">
        <v>44.3</v>
      </c>
      <c r="CX54">
        <f t="shared" si="257"/>
        <v>3.9869999999999997</v>
      </c>
      <c r="CY54">
        <v>70.9769741921898</v>
      </c>
      <c r="CZ54">
        <v>7.3169105356480999E-3</v>
      </c>
      <c r="DA54">
        <v>6.0998104818480998E-4</v>
      </c>
      <c r="DB54" s="31">
        <f t="shared" si="258"/>
        <v>55.254551643882621</v>
      </c>
      <c r="DC54" s="31">
        <f t="shared" si="246"/>
        <v>3921.8008860288751</v>
      </c>
      <c r="DD54" s="31">
        <f t="shared" si="247"/>
        <v>0.4042926110656368</v>
      </c>
      <c r="DE54" s="31">
        <f t="shared" si="248"/>
        <v>3.3704229328717236E-2</v>
      </c>
      <c r="DF54" s="655">
        <f t="shared" si="259"/>
        <v>3943.0500604453709</v>
      </c>
      <c r="DG54">
        <v>2.34</v>
      </c>
      <c r="DH54">
        <f t="shared" si="260"/>
        <v>3891516.9555059546</v>
      </c>
      <c r="DI54" s="419">
        <f t="shared" si="261"/>
        <v>3891.5169555059547</v>
      </c>
      <c r="DJ54">
        <v>271.3</v>
      </c>
      <c r="DK54" s="419">
        <f t="shared" si="262"/>
        <v>3759.8595086494502</v>
      </c>
      <c r="DM54" t="s">
        <v>223</v>
      </c>
      <c r="DN54" s="31">
        <f>DN46</f>
        <v>180177.72222401455</v>
      </c>
      <c r="DO54" s="31">
        <f t="shared" ref="DO54:DP54" si="285">DO46</f>
        <v>187521.83481386103</v>
      </c>
      <c r="DP54" s="31">
        <f t="shared" si="285"/>
        <v>158913.03253874191</v>
      </c>
      <c r="DR54">
        <f>DN54/DN57</f>
        <v>0.66882273243619628</v>
      </c>
    </row>
    <row r="55" spans="1:144" ht="17" thickBot="1" x14ac:dyDescent="1.2">
      <c r="A55" s="1161"/>
      <c r="B55" s="341" t="s">
        <v>314</v>
      </c>
      <c r="C55" s="342">
        <v>40402</v>
      </c>
      <c r="D55" s="343">
        <v>45572.666795350764</v>
      </c>
      <c r="E55" s="344">
        <v>47040</v>
      </c>
      <c r="F55" s="345">
        <v>133014.66679535076</v>
      </c>
      <c r="G55" s="382">
        <v>803240.43989962712</v>
      </c>
      <c r="H55" s="1163"/>
      <c r="I55" s="362">
        <v>-5.3617858565037126E-2</v>
      </c>
      <c r="J55" s="363">
        <v>-5.770084332001775E-3</v>
      </c>
      <c r="K55" s="364">
        <v>-1.4143868759583178E-2</v>
      </c>
      <c r="L55" s="365">
        <v>-1.4143868759583178E-2</v>
      </c>
      <c r="M55" s="510">
        <v>4.4826198295774278E-2</v>
      </c>
      <c r="T55">
        <f>T54*0.65</f>
        <v>1174.3661474999999</v>
      </c>
      <c r="AB55" s="992" t="s">
        <v>294</v>
      </c>
      <c r="AC55" s="986">
        <v>1</v>
      </c>
      <c r="AG55" s="981" t="s">
        <v>294</v>
      </c>
      <c r="AH55" s="981">
        <f t="shared" si="283"/>
        <v>161</v>
      </c>
      <c r="AI55" s="981">
        <v>172</v>
      </c>
      <c r="AJ55" s="981"/>
      <c r="AK55" s="981">
        <v>62.36</v>
      </c>
      <c r="AL55" s="982">
        <v>22762</v>
      </c>
      <c r="AN55" s="994">
        <f t="shared" si="284"/>
        <v>0.9526627218934911</v>
      </c>
      <c r="AO55" s="121">
        <f t="shared" si="284"/>
        <v>0.91489361702127658</v>
      </c>
      <c r="AP55">
        <f t="shared" si="277"/>
        <v>3.664682</v>
      </c>
      <c r="AR55" s="121">
        <f t="shared" si="278"/>
        <v>2.7416813931548769E-3</v>
      </c>
      <c r="AU55" t="s">
        <v>264</v>
      </c>
      <c r="AV55" s="147">
        <f>AR48</f>
        <v>2.9548388728966123E-5</v>
      </c>
      <c r="AW55" s="31">
        <f t="shared" si="263"/>
        <v>3.4239635089763423E-2</v>
      </c>
      <c r="AX55">
        <v>8</v>
      </c>
      <c r="AY55">
        <f t="shared" si="264"/>
        <v>0.08</v>
      </c>
      <c r="AZ55">
        <v>0.86499999999999999</v>
      </c>
      <c r="BA55">
        <f t="shared" si="265"/>
        <v>6.9199999999999998E-2</v>
      </c>
      <c r="BB55">
        <v>44.3</v>
      </c>
      <c r="BC55">
        <f t="shared" si="266"/>
        <v>3.0655599999999996</v>
      </c>
      <c r="BD55">
        <v>72.335002492541093</v>
      </c>
      <c r="BE55">
        <v>7.1637159556547196E-3</v>
      </c>
      <c r="BF55">
        <v>4.7891015874360001E-4</v>
      </c>
      <c r="BG55" s="31">
        <f t="shared" si="267"/>
        <v>0.10496365574577515</v>
      </c>
      <c r="BH55" s="31">
        <f t="shared" si="268"/>
        <v>7.5925462999968714</v>
      </c>
      <c r="BI55" s="31">
        <f t="shared" si="269"/>
        <v>7.5192981542985865E-4</v>
      </c>
      <c r="BJ55" s="31">
        <f t="shared" si="270"/>
        <v>5.0268161035517759E-5</v>
      </c>
      <c r="BK55" s="655">
        <f t="shared" si="279"/>
        <v>7.6269213975033194</v>
      </c>
      <c r="BL55">
        <v>2.72</v>
      </c>
      <c r="BM55">
        <f t="shared" si="271"/>
        <v>7450.5445955325213</v>
      </c>
      <c r="BN55" s="419">
        <f t="shared" si="272"/>
        <v>7.4505445955325209</v>
      </c>
      <c r="BO55">
        <v>207</v>
      </c>
      <c r="BP55" s="419">
        <f t="shared" si="273"/>
        <v>7.0876044635810285</v>
      </c>
      <c r="BQ55" s="419"/>
      <c r="BR55" s="419"/>
      <c r="BX55" s="945" t="s">
        <v>765</v>
      </c>
      <c r="BY55" s="946">
        <v>7399</v>
      </c>
      <c r="BZ55">
        <f t="shared" si="249"/>
        <v>38.782625000000003</v>
      </c>
      <c r="CA55" s="121">
        <f t="shared" si="250"/>
        <v>1.5138913114303059E-2</v>
      </c>
      <c r="CB55" s="930" t="s">
        <v>305</v>
      </c>
      <c r="CC55" s="930">
        <f t="shared" si="280"/>
        <v>2443</v>
      </c>
      <c r="CD55" s="933">
        <v>1642</v>
      </c>
      <c r="CE55" s="930"/>
      <c r="CF55" s="930">
        <v>47.6</v>
      </c>
      <c r="CG55" s="931">
        <v>17373</v>
      </c>
      <c r="CI55" s="121">
        <f t="shared" si="251"/>
        <v>1.306654685878716E-2</v>
      </c>
      <c r="CJ55" s="121">
        <f t="shared" si="281"/>
        <v>0.95799299883313882</v>
      </c>
      <c r="CL55" s="31">
        <f t="shared" si="253"/>
        <v>42.442239000000001</v>
      </c>
      <c r="CM55" s="121">
        <f t="shared" si="254"/>
        <v>1.6298300355246684E-2</v>
      </c>
      <c r="CP55" t="s">
        <v>302</v>
      </c>
      <c r="CQ55" s="147">
        <f>CM54</f>
        <v>8.2593170740555666E-2</v>
      </c>
      <c r="CR55" s="31">
        <f t="shared" si="245"/>
        <v>91.497194549027483</v>
      </c>
      <c r="CS55">
        <v>13</v>
      </c>
      <c r="CT55">
        <f t="shared" si="255"/>
        <v>0.13</v>
      </c>
      <c r="CU55">
        <v>0.86499999999999999</v>
      </c>
      <c r="CV55">
        <f t="shared" si="256"/>
        <v>0.11245000000000001</v>
      </c>
      <c r="CW55">
        <v>43</v>
      </c>
      <c r="CX55">
        <f t="shared" si="257"/>
        <v>4.83535</v>
      </c>
      <c r="CY55">
        <v>74.054734089485606</v>
      </c>
      <c r="CZ55">
        <v>1.1457692289250001E-4</v>
      </c>
      <c r="DA55">
        <v>2.5659043229536902E-3</v>
      </c>
      <c r="DB55" s="31">
        <f t="shared" si="258"/>
        <v>442.42095966264003</v>
      </c>
      <c r="DC55" s="31">
        <f t="shared" si="246"/>
        <v>32763.366523431843</v>
      </c>
      <c r="DD55" s="31">
        <f t="shared" si="247"/>
        <v>5.0691232181292165E-2</v>
      </c>
      <c r="DE55" s="31">
        <f t="shared" si="248"/>
        <v>1.1352098529636883</v>
      </c>
      <c r="DF55" s="655">
        <f t="shared" si="259"/>
        <v>33074.789412009937</v>
      </c>
      <c r="DG55">
        <v>2.72</v>
      </c>
      <c r="DH55">
        <f t="shared" si="260"/>
        <v>32353407.99253612</v>
      </c>
      <c r="DI55" s="419">
        <f t="shared" si="261"/>
        <v>32353.407992536118</v>
      </c>
      <c r="DJ55">
        <v>239.5</v>
      </c>
      <c r="DK55" s="419">
        <f t="shared" si="262"/>
        <v>21913.578094492081</v>
      </c>
      <c r="DM55" s="25" t="s">
        <v>398</v>
      </c>
      <c r="DN55" s="31">
        <f>DN47+DN49</f>
        <v>14630.465949535896</v>
      </c>
      <c r="DO55" s="31">
        <f t="shared" ref="DO55:DP55" si="286">DO47+DO49</f>
        <v>14270.055586561946</v>
      </c>
      <c r="DP55" s="31">
        <f t="shared" si="286"/>
        <v>19260.457565247023</v>
      </c>
      <c r="DR55">
        <f>DN55/DN57</f>
        <v>5.4308535441564887E-2</v>
      </c>
    </row>
    <row r="56" spans="1:144" ht="17" thickBot="1" x14ac:dyDescent="1.2">
      <c r="A56" s="1161"/>
      <c r="B56" s="341" t="s">
        <v>316</v>
      </c>
      <c r="C56" s="342">
        <v>37788</v>
      </c>
      <c r="D56" s="343">
        <v>45431</v>
      </c>
      <c r="E56" s="344">
        <v>46196.383537711605</v>
      </c>
      <c r="F56" s="345">
        <v>129415.3835377116</v>
      </c>
      <c r="G56" s="382">
        <v>932655.82343733869</v>
      </c>
      <c r="H56" s="1163"/>
      <c r="I56" s="362">
        <v>-4.4309559939301975E-2</v>
      </c>
      <c r="J56" s="363">
        <v>-3.6796959537687421E-3</v>
      </c>
      <c r="K56" s="364">
        <v>-5.5632370785679841E-3</v>
      </c>
      <c r="L56" s="365">
        <v>-5.5632370785679841E-3</v>
      </c>
      <c r="M56" s="510">
        <v>3.7531153479971158E-2</v>
      </c>
      <c r="AB56" s="992" t="s">
        <v>301</v>
      </c>
      <c r="AC56" s="986">
        <v>39</v>
      </c>
      <c r="AG56" s="981" t="s">
        <v>297</v>
      </c>
      <c r="AH56" s="981">
        <f t="shared" si="283"/>
        <v>542</v>
      </c>
      <c r="AI56" s="981">
        <v>465</v>
      </c>
      <c r="AJ56" s="981"/>
      <c r="AK56" s="981">
        <v>168.38</v>
      </c>
      <c r="AL56" s="982">
        <v>61460</v>
      </c>
      <c r="AN56" s="994">
        <f t="shared" si="284"/>
        <v>0.94589877835951131</v>
      </c>
      <c r="AO56" s="121">
        <f>AI56/AI70</f>
        <v>0.98936170212765961</v>
      </c>
      <c r="AP56">
        <f t="shared" si="277"/>
        <v>33.311320000000002</v>
      </c>
      <c r="AR56" s="121">
        <f t="shared" si="278"/>
        <v>2.4921405520432038E-2</v>
      </c>
      <c r="AT56" t="s">
        <v>318</v>
      </c>
      <c r="AU56" t="s">
        <v>302</v>
      </c>
      <c r="AV56" s="147">
        <f>AR57</f>
        <v>7.7594279776683248E-2</v>
      </c>
      <c r="AW56" s="31">
        <f t="shared" si="263"/>
        <v>89.913526215464941</v>
      </c>
      <c r="AX56">
        <v>13</v>
      </c>
      <c r="AY56">
        <f t="shared" si="264"/>
        <v>0.13</v>
      </c>
      <c r="AZ56">
        <v>0.75</v>
      </c>
      <c r="BA56">
        <f t="shared" si="265"/>
        <v>9.7500000000000003E-2</v>
      </c>
      <c r="BB56">
        <v>43</v>
      </c>
      <c r="BC56">
        <f t="shared" si="266"/>
        <v>4.1924999999999999</v>
      </c>
      <c r="BD56">
        <v>73.510933419407607</v>
      </c>
      <c r="BE56">
        <v>5.406312413867E-5</v>
      </c>
      <c r="BF56">
        <v>2.5456284629589302E-3</v>
      </c>
      <c r="BG56" s="31">
        <f t="shared" si="267"/>
        <v>376.96245865833674</v>
      </c>
      <c r="BH56" s="31">
        <f t="shared" si="268"/>
        <v>27710.862200049185</v>
      </c>
      <c r="BI56" s="31">
        <f t="shared" si="269"/>
        <v>2.0379768198063915E-2</v>
      </c>
      <c r="BJ56" s="31">
        <f t="shared" si="270"/>
        <v>0.95960636422764101</v>
      </c>
      <c r="BK56" s="655">
        <f t="shared" si="279"/>
        <v>27965.728520079054</v>
      </c>
      <c r="BL56">
        <v>2.34</v>
      </c>
      <c r="BM56">
        <f t="shared" si="271"/>
        <v>27351694.674744435</v>
      </c>
      <c r="BN56" s="419">
        <f t="shared" si="272"/>
        <v>27351.694674744434</v>
      </c>
      <c r="BO56">
        <v>240</v>
      </c>
      <c r="BP56" s="419">
        <f t="shared" si="273"/>
        <v>21579.246291711584</v>
      </c>
      <c r="BQ56" s="419"/>
      <c r="BR56" s="419"/>
      <c r="BS56" t="s">
        <v>223</v>
      </c>
      <c r="BT56" s="31">
        <f>BT48</f>
        <v>182631.6253205798</v>
      </c>
      <c r="BU56" s="31">
        <f>BU48</f>
        <v>192602.06929692475</v>
      </c>
      <c r="BV56" s="31">
        <f>BV48</f>
        <v>158116.89292667239</v>
      </c>
      <c r="BX56" s="947" t="s">
        <v>293</v>
      </c>
      <c r="BY56">
        <v>7390</v>
      </c>
      <c r="BZ56">
        <f t="shared" si="249"/>
        <v>106.231824</v>
      </c>
      <c r="CA56" s="121">
        <f t="shared" si="250"/>
        <v>4.1467908722267618E-2</v>
      </c>
      <c r="CB56" s="932" t="s">
        <v>308</v>
      </c>
      <c r="CC56" s="932">
        <f t="shared" si="280"/>
        <v>3204</v>
      </c>
      <c r="CD56" s="938">
        <v>1959</v>
      </c>
      <c r="CE56" s="932"/>
      <c r="CF56" s="932">
        <v>90.51</v>
      </c>
      <c r="CG56" s="934">
        <v>33038</v>
      </c>
      <c r="CI56" s="121">
        <f t="shared" si="251"/>
        <v>1.713680562241263E-2</v>
      </c>
      <c r="CJ56" s="121">
        <f t="shared" si="281"/>
        <v>0.99492127983748091</v>
      </c>
      <c r="CL56" s="31">
        <f t="shared" si="253"/>
        <v>105.853752</v>
      </c>
      <c r="CM56" s="121">
        <f t="shared" si="254"/>
        <v>4.0649039364435847E-2</v>
      </c>
      <c r="CO56" t="s">
        <v>325</v>
      </c>
      <c r="CP56" t="s">
        <v>264</v>
      </c>
      <c r="CQ56" s="147">
        <f>CM46</f>
        <v>0</v>
      </c>
      <c r="CR56" s="31">
        <f t="shared" si="245"/>
        <v>0</v>
      </c>
      <c r="CS56">
        <v>25</v>
      </c>
      <c r="CT56">
        <f t="shared" si="255"/>
        <v>0.25</v>
      </c>
      <c r="CU56">
        <v>0.75</v>
      </c>
      <c r="CV56">
        <f t="shared" si="256"/>
        <v>0.1875</v>
      </c>
      <c r="CW56">
        <v>44.3</v>
      </c>
      <c r="CX56">
        <f t="shared" si="257"/>
        <v>8.3062499999999986</v>
      </c>
      <c r="CY56">
        <v>71.051104664576499</v>
      </c>
      <c r="CZ56">
        <v>1.53682172957139E-2</v>
      </c>
      <c r="DA56">
        <v>8.2329735512008E-4</v>
      </c>
      <c r="DB56" s="31">
        <f t="shared" si="258"/>
        <v>0</v>
      </c>
      <c r="DC56" s="31">
        <f t="shared" si="246"/>
        <v>0</v>
      </c>
      <c r="DD56" s="31">
        <f t="shared" si="247"/>
        <v>0</v>
      </c>
      <c r="DE56" s="31">
        <f t="shared" si="248"/>
        <v>0</v>
      </c>
      <c r="DF56" s="655">
        <f t="shared" si="259"/>
        <v>0</v>
      </c>
      <c r="DG56">
        <v>2.34</v>
      </c>
      <c r="DH56">
        <f t="shared" si="260"/>
        <v>0</v>
      </c>
      <c r="DI56" s="419">
        <f t="shared" si="261"/>
        <v>0</v>
      </c>
      <c r="DJ56">
        <v>801.2</v>
      </c>
      <c r="DK56" s="419">
        <f t="shared" si="262"/>
        <v>0</v>
      </c>
      <c r="DM56" t="s">
        <v>227</v>
      </c>
      <c r="DN56" s="31">
        <f>DN48+DN50+DN51</f>
        <v>74587.144080953862</v>
      </c>
      <c r="DO56" s="31">
        <f>DO48+DO50+DO51</f>
        <v>72953.567079033703</v>
      </c>
      <c r="DP56" s="31">
        <f>DP48+DP50+DP51</f>
        <v>65734.349276608817</v>
      </c>
      <c r="DR56">
        <f>DN56/DN57</f>
        <v>0.27686873212223878</v>
      </c>
    </row>
    <row r="57" spans="1:144" ht="17" thickBot="1" x14ac:dyDescent="1.2">
      <c r="A57" s="1161"/>
      <c r="B57" s="341" t="s">
        <v>319</v>
      </c>
      <c r="C57" s="342">
        <v>39855</v>
      </c>
      <c r="D57" s="343">
        <v>45009.046086335104</v>
      </c>
      <c r="E57" s="344">
        <v>46690</v>
      </c>
      <c r="F57" s="345">
        <v>131554.04608633509</v>
      </c>
      <c r="G57" s="382">
        <v>1064209.8695236738</v>
      </c>
      <c r="H57" s="1163"/>
      <c r="I57" s="362">
        <v>-7.4688893016344723E-2</v>
      </c>
      <c r="J57" s="363">
        <v>2.0818577897967505E-3</v>
      </c>
      <c r="K57" s="364">
        <v>-2.907127241750429E-2</v>
      </c>
      <c r="L57" s="365">
        <v>-2.907127241750429E-2</v>
      </c>
      <c r="M57" s="510">
        <v>2.8807194454872898E-2</v>
      </c>
      <c r="AB57" s="988" t="s">
        <v>764</v>
      </c>
      <c r="AC57" s="989">
        <v>12533</v>
      </c>
      <c r="AG57" s="981" t="s">
        <v>301</v>
      </c>
      <c r="AH57" s="981">
        <f t="shared" si="283"/>
        <v>6626</v>
      </c>
      <c r="AI57" s="983">
        <v>4231</v>
      </c>
      <c r="AJ57" s="981"/>
      <c r="AK57" s="981">
        <v>42.88</v>
      </c>
      <c r="AL57" s="982">
        <v>15653</v>
      </c>
      <c r="AN57" s="994">
        <f t="shared" si="284"/>
        <v>0.79917983355445665</v>
      </c>
      <c r="AO57" s="121">
        <f t="shared" si="284"/>
        <v>0.83418769716088326</v>
      </c>
      <c r="AP57">
        <f t="shared" si="277"/>
        <v>103.71677800000001</v>
      </c>
      <c r="AR57" s="121">
        <f t="shared" si="278"/>
        <v>7.7594279776683248E-2</v>
      </c>
      <c r="AU57" t="s">
        <v>264</v>
      </c>
      <c r="AV57" s="147">
        <f>AR50</f>
        <v>7.0061768850759529E-3</v>
      </c>
      <c r="AW57" s="31">
        <f t="shared" si="263"/>
        <v>8.1185117103923243</v>
      </c>
      <c r="AX57">
        <v>12</v>
      </c>
      <c r="AY57">
        <f t="shared" si="264"/>
        <v>0.12</v>
      </c>
      <c r="AZ57">
        <v>0.75</v>
      </c>
      <c r="BA57">
        <f t="shared" si="265"/>
        <v>0.09</v>
      </c>
      <c r="BB57">
        <v>44.3</v>
      </c>
      <c r="BC57">
        <f t="shared" si="266"/>
        <v>3.9869999999999997</v>
      </c>
      <c r="BD57">
        <v>72.335002492541093</v>
      </c>
      <c r="BE57">
        <v>7.1637159556547196E-3</v>
      </c>
      <c r="BF57">
        <v>4.7891015874360001E-4</v>
      </c>
      <c r="BG57" s="31">
        <f t="shared" si="267"/>
        <v>32.368506189334191</v>
      </c>
      <c r="BH57" s="31">
        <f t="shared" si="268"/>
        <v>2341.3759758853207</v>
      </c>
      <c r="BI57" s="31">
        <f t="shared" si="269"/>
        <v>0.23187878424924188</v>
      </c>
      <c r="BJ57" s="31">
        <f t="shared" si="270"/>
        <v>1.5501606437427236E-2</v>
      </c>
      <c r="BK57" s="655">
        <f t="shared" si="279"/>
        <v>2351.9765075502178</v>
      </c>
      <c r="BL57">
        <v>2.34</v>
      </c>
      <c r="BM57">
        <f t="shared" si="271"/>
        <v>2279678.0882781646</v>
      </c>
      <c r="BN57" s="419">
        <f t="shared" si="272"/>
        <v>2279.6780882781645</v>
      </c>
      <c r="BO57">
        <v>250</v>
      </c>
      <c r="BP57" s="419">
        <f t="shared" si="273"/>
        <v>2029.6279275980812</v>
      </c>
      <c r="BQ57" s="419"/>
      <c r="BR57" s="419"/>
      <c r="BS57" s="25" t="s">
        <v>398</v>
      </c>
      <c r="BT57" s="31">
        <f>BT49+BT51</f>
        <v>17804.542522148538</v>
      </c>
      <c r="BU57" s="31">
        <f>BU49+BU51</f>
        <v>17455.978720806299</v>
      </c>
      <c r="BV57" s="31">
        <f>BV49+BV51</f>
        <v>22724.942736995778</v>
      </c>
      <c r="BX57" s="947" t="s">
        <v>296</v>
      </c>
      <c r="BY57">
        <v>9</v>
      </c>
      <c r="BZ57">
        <f t="shared" si="249"/>
        <v>0</v>
      </c>
      <c r="CA57" s="121">
        <f t="shared" si="250"/>
        <v>0</v>
      </c>
      <c r="CB57" s="1148" t="s">
        <v>397</v>
      </c>
      <c r="CC57" s="1149"/>
      <c r="CD57" s="1149"/>
      <c r="CE57" s="1149"/>
      <c r="CF57" s="1149"/>
      <c r="CG57" s="1150"/>
      <c r="CI57" s="121"/>
      <c r="CJ57" s="121"/>
      <c r="CL57" s="31">
        <f t="shared" si="253"/>
        <v>0</v>
      </c>
      <c r="CM57" s="121">
        <f t="shared" si="254"/>
        <v>0</v>
      </c>
      <c r="CP57" t="s">
        <v>302</v>
      </c>
      <c r="CQ57" s="147">
        <f>CM53</f>
        <v>2.0224002414319122E-2</v>
      </c>
      <c r="CR57" s="31">
        <f t="shared" si="245"/>
        <v>22.404267409415951</v>
      </c>
      <c r="CS57">
        <v>21.22</v>
      </c>
      <c r="CT57">
        <f t="shared" si="255"/>
        <v>0.2122</v>
      </c>
      <c r="CU57">
        <v>0.86499999999999999</v>
      </c>
      <c r="CV57">
        <f t="shared" si="256"/>
        <v>0.18355299999999999</v>
      </c>
      <c r="CW57">
        <v>43</v>
      </c>
      <c r="CX57">
        <f t="shared" si="257"/>
        <v>7.892779</v>
      </c>
      <c r="CY57">
        <v>74.054734089485507</v>
      </c>
      <c r="CZ57">
        <v>1.4363980931045299E-3</v>
      </c>
      <c r="DA57">
        <v>3.0837733297494202E-3</v>
      </c>
      <c r="DB57" s="31">
        <f t="shared" si="258"/>
        <v>176.83193131942261</v>
      </c>
      <c r="DC57" s="31">
        <f t="shared" si="246"/>
        <v>13095.241652390005</v>
      </c>
      <c r="DD57" s="31">
        <f t="shared" si="247"/>
        <v>0.25400104894720982</v>
      </c>
      <c r="DE57" s="31">
        <f t="shared" si="248"/>
        <v>0.54530959365091669</v>
      </c>
      <c r="DF57" s="655">
        <f t="shared" si="259"/>
        <v>13251.680402715332</v>
      </c>
      <c r="DG57">
        <v>2.72</v>
      </c>
      <c r="DH57">
        <f t="shared" si="260"/>
        <v>12931384.680436336</v>
      </c>
      <c r="DI57" s="419">
        <f t="shared" si="261"/>
        <v>12931.384680436335</v>
      </c>
      <c r="DJ57">
        <v>801.2</v>
      </c>
      <c r="DK57" s="419">
        <f t="shared" si="262"/>
        <v>17950.299048424062</v>
      </c>
      <c r="DM57"/>
      <c r="DN57" s="655">
        <f>SUM(DN54:DN56)</f>
        <v>269395.33225450432</v>
      </c>
      <c r="DO57" s="655">
        <f t="shared" ref="DO57" si="287">SUM(DO54:DO56)</f>
        <v>274745.45747945667</v>
      </c>
      <c r="DP57" s="655">
        <f>SUM(DP54:DP56)</f>
        <v>243907.83938059775</v>
      </c>
    </row>
    <row r="58" spans="1:144" ht="17" thickBot="1" x14ac:dyDescent="1.2">
      <c r="A58" s="1161"/>
      <c r="B58" s="341" t="s">
        <v>321</v>
      </c>
      <c r="C58" s="342">
        <v>44393</v>
      </c>
      <c r="D58" s="343">
        <v>46983</v>
      </c>
      <c r="E58" s="344">
        <v>47628</v>
      </c>
      <c r="F58" s="345">
        <v>139004</v>
      </c>
      <c r="G58" s="382">
        <v>1203213.8695236738</v>
      </c>
      <c r="H58" s="1163"/>
      <c r="I58" s="362">
        <v>-3.2108855757140291E-3</v>
      </c>
      <c r="J58" s="363">
        <v>3.1869488918257249E-2</v>
      </c>
      <c r="K58" s="364">
        <v>1.1504624407850272E-2</v>
      </c>
      <c r="L58" s="365">
        <v>1.1504624407850272E-2</v>
      </c>
      <c r="M58" s="510">
        <v>2.6778092796277075E-2</v>
      </c>
      <c r="AB58" s="992" t="s">
        <v>223</v>
      </c>
      <c r="AC58" s="986">
        <v>12533</v>
      </c>
      <c r="AD58">
        <v>8377</v>
      </c>
      <c r="AE58">
        <v>8445</v>
      </c>
      <c r="AG58" s="981" t="s">
        <v>305</v>
      </c>
      <c r="AH58" s="981">
        <f t="shared" si="283"/>
        <v>935</v>
      </c>
      <c r="AI58" s="981">
        <v>896</v>
      </c>
      <c r="AJ58" s="981"/>
      <c r="AK58" s="981">
        <v>43.49</v>
      </c>
      <c r="AL58" s="982">
        <v>15875</v>
      </c>
      <c r="AN58" s="994">
        <f t="shared" si="284"/>
        <v>0.9387550200803213</v>
      </c>
      <c r="AO58" s="121">
        <f t="shared" si="284"/>
        <v>0.96344086021505382</v>
      </c>
      <c r="AP58">
        <f t="shared" si="277"/>
        <v>14.843125000000001</v>
      </c>
      <c r="AR58" s="121">
        <f t="shared" si="278"/>
        <v>1.1104679649904681E-2</v>
      </c>
      <c r="AT58" t="s">
        <v>325</v>
      </c>
      <c r="AU58" t="s">
        <v>302</v>
      </c>
      <c r="AV58" s="147">
        <f>AR56</f>
        <v>2.4921405520432038E-2</v>
      </c>
      <c r="AW58" s="31">
        <f t="shared" si="263"/>
        <v>28.878049452054341</v>
      </c>
      <c r="AX58">
        <v>21.22</v>
      </c>
      <c r="AY58">
        <f t="shared" si="264"/>
        <v>0.2122</v>
      </c>
      <c r="AZ58">
        <v>0.86499999999999999</v>
      </c>
      <c r="BA58">
        <f t="shared" si="265"/>
        <v>0.18355299999999999</v>
      </c>
      <c r="BB58">
        <v>43</v>
      </c>
      <c r="BC58">
        <f t="shared" si="266"/>
        <v>7.892779</v>
      </c>
      <c r="BD58">
        <v>73.510933419407394</v>
      </c>
      <c r="BE58">
        <v>8.2398639563294998E-4</v>
      </c>
      <c r="BF58">
        <v>3.54663097127342E-3</v>
      </c>
      <c r="BG58" s="31">
        <f t="shared" si="267"/>
        <v>227.92806227613602</v>
      </c>
      <c r="BH58" s="31">
        <f t="shared" si="268"/>
        <v>16755.204610395576</v>
      </c>
      <c r="BI58" s="31">
        <f t="shared" si="269"/>
        <v>0.18780962249851588</v>
      </c>
      <c r="BJ58" s="31">
        <f t="shared" si="270"/>
        <v>0.80837672489088086</v>
      </c>
      <c r="BK58" s="655">
        <f t="shared" si="279"/>
        <v>16974.683111921619</v>
      </c>
      <c r="BL58">
        <v>2.72</v>
      </c>
      <c r="BM58">
        <f t="shared" si="271"/>
        <v>16667948.094934534</v>
      </c>
      <c r="BN58" s="419">
        <f t="shared" si="272"/>
        <v>16667.948094934534</v>
      </c>
      <c r="BO58">
        <v>766</v>
      </c>
      <c r="BP58" s="419">
        <f t="shared" si="273"/>
        <v>22120.585880273622</v>
      </c>
      <c r="BQ58" s="419"/>
      <c r="BR58" s="419"/>
      <c r="BS58" t="s">
        <v>227</v>
      </c>
      <c r="BT58" s="31">
        <f>BT50+BT52+BT53</f>
        <v>62600.823041074313</v>
      </c>
      <c r="BU58" s="31">
        <f>BU50+BU52+BU53</f>
        <v>61373.395857794152</v>
      </c>
      <c r="BV58" s="31">
        <f>BV50+BV52+BV53</f>
        <v>59340.004958541234</v>
      </c>
      <c r="BX58" s="945" t="s">
        <v>312</v>
      </c>
      <c r="BY58" s="946">
        <v>66517</v>
      </c>
      <c r="BZ58">
        <f t="shared" si="249"/>
        <v>167.81888799999999</v>
      </c>
      <c r="CA58" s="121">
        <f t="shared" si="250"/>
        <v>6.550860248296643E-2</v>
      </c>
      <c r="CB58" s="927" t="s">
        <v>334</v>
      </c>
      <c r="CC58" s="927">
        <f>BY89+BY94</f>
        <v>12968</v>
      </c>
      <c r="CD58" s="928">
        <v>1612</v>
      </c>
      <c r="CE58" s="927"/>
      <c r="CF58" s="927">
        <v>36.57</v>
      </c>
      <c r="CG58" s="929">
        <v>13348</v>
      </c>
      <c r="CI58" s="121">
        <f t="shared" si="251"/>
        <v>6.9360204529165734E-2</v>
      </c>
      <c r="CJ58" s="121">
        <f>CD58/$CD$65</f>
        <v>1.8550057537399311E-2</v>
      </c>
      <c r="CL58" s="31">
        <f t="shared" si="253"/>
        <v>173.09686400000001</v>
      </c>
      <c r="CM58" s="121">
        <f t="shared" si="254"/>
        <v>6.6471155775341795E-2</v>
      </c>
      <c r="CO58" t="str">
        <f>CB55</f>
        <v>Vörubifreiðar ≤12t</v>
      </c>
      <c r="CP58" t="s">
        <v>264</v>
      </c>
      <c r="CQ58" s="147">
        <f>CM48</f>
        <v>4.5685059090850211E-4</v>
      </c>
      <c r="CR58" s="31">
        <f t="shared" si="245"/>
        <v>0.50610173966439198</v>
      </c>
      <c r="CS58">
        <v>25</v>
      </c>
      <c r="CT58">
        <f t="shared" si="255"/>
        <v>0.25</v>
      </c>
      <c r="CU58">
        <v>0.75</v>
      </c>
      <c r="CV58">
        <f t="shared" si="256"/>
        <v>0.1875</v>
      </c>
      <c r="CW58">
        <v>44.3</v>
      </c>
      <c r="CX58">
        <f t="shared" si="257"/>
        <v>8.3062499999999986</v>
      </c>
      <c r="CY58">
        <v>71.051977446800905</v>
      </c>
      <c r="CZ58">
        <v>6.0214126798913805E-3</v>
      </c>
      <c r="DA58">
        <v>1.2119593011540399E-3</v>
      </c>
      <c r="DB58" s="31">
        <f t="shared" si="258"/>
        <v>4.2038075750873549</v>
      </c>
      <c r="DC58" s="31">
        <f t="shared" si="246"/>
        <v>298.68884101579755</v>
      </c>
      <c r="DD58" s="31">
        <f t="shared" si="247"/>
        <v>2.5312860236454435E-2</v>
      </c>
      <c r="DE58" s="31">
        <f t="shared" si="248"/>
        <v>5.0948436908889302E-3</v>
      </c>
      <c r="DF58" s="655">
        <f t="shared" si="259"/>
        <v>300.83405657845657</v>
      </c>
      <c r="DG58">
        <v>2.34</v>
      </c>
      <c r="DH58">
        <f t="shared" si="260"/>
        <v>296069.51770366932</v>
      </c>
      <c r="DI58" s="419">
        <f t="shared" si="261"/>
        <v>296.06951770366931</v>
      </c>
      <c r="DJ58">
        <v>512.9</v>
      </c>
      <c r="DK58" s="419">
        <f t="shared" si="262"/>
        <v>259.57958227386661</v>
      </c>
      <c r="DM58"/>
      <c r="DN58"/>
      <c r="DO58"/>
      <c r="DP58"/>
    </row>
    <row r="59" spans="1:144" ht="26.25" thickBot="1" x14ac:dyDescent="1.2">
      <c r="A59" s="1161"/>
      <c r="B59" s="341" t="s">
        <v>323</v>
      </c>
      <c r="C59" s="342">
        <v>43645</v>
      </c>
      <c r="D59" s="343">
        <v>44328</v>
      </c>
      <c r="E59" s="344">
        <v>46087</v>
      </c>
      <c r="F59" s="345">
        <v>134060</v>
      </c>
      <c r="G59" s="382">
        <v>1337273.8695236738</v>
      </c>
      <c r="H59" s="1163"/>
      <c r="I59" s="362">
        <v>-4.2053510677992144E-2</v>
      </c>
      <c r="J59" s="363">
        <v>-9.5845958781939702E-3</v>
      </c>
      <c r="K59" s="364">
        <v>-4.0983196102697628E-2</v>
      </c>
      <c r="L59" s="365">
        <v>-4.0983196102697628E-2</v>
      </c>
      <c r="M59" s="510">
        <v>1.9556291965288519E-2</v>
      </c>
      <c r="V59" s="961" t="s">
        <v>946</v>
      </c>
      <c r="W59" s="962" t="s">
        <v>947</v>
      </c>
      <c r="X59" s="962" t="s">
        <v>948</v>
      </c>
      <c r="Y59" s="962" t="s">
        <v>941</v>
      </c>
      <c r="AB59" s="988" t="s">
        <v>765</v>
      </c>
      <c r="AC59" s="989">
        <v>7399</v>
      </c>
      <c r="AG59" s="981" t="s">
        <v>308</v>
      </c>
      <c r="AH59" s="981">
        <f t="shared" si="283"/>
        <v>1462</v>
      </c>
      <c r="AI59" s="983">
        <v>1274</v>
      </c>
      <c r="AJ59" s="981"/>
      <c r="AK59" s="981">
        <v>90.84</v>
      </c>
      <c r="AL59" s="982">
        <v>33156</v>
      </c>
      <c r="AN59" s="994">
        <f t="shared" si="284"/>
        <v>0.99863387978142082</v>
      </c>
      <c r="AO59" s="121">
        <f t="shared" si="284"/>
        <v>0.99066874027993779</v>
      </c>
      <c r="AP59">
        <f t="shared" si="277"/>
        <v>48.474072</v>
      </c>
      <c r="AR59" s="121">
        <f t="shared" si="278"/>
        <v>3.6265209710651516E-2</v>
      </c>
      <c r="AU59" t="s">
        <v>264</v>
      </c>
      <c r="AV59" s="147">
        <f>AR49</f>
        <v>0</v>
      </c>
      <c r="AW59" s="31">
        <f t="shared" si="263"/>
        <v>0</v>
      </c>
      <c r="AX59">
        <v>25</v>
      </c>
      <c r="AY59">
        <f t="shared" si="264"/>
        <v>0.25</v>
      </c>
      <c r="AZ59">
        <v>0.75</v>
      </c>
      <c r="BA59">
        <f t="shared" si="265"/>
        <v>0.1875</v>
      </c>
      <c r="BB59">
        <v>44.3</v>
      </c>
      <c r="BC59">
        <f t="shared" si="266"/>
        <v>8.3062499999999986</v>
      </c>
      <c r="BD59">
        <v>72.326894595976398</v>
      </c>
      <c r="BE59">
        <v>1.4879032033184299E-2</v>
      </c>
      <c r="BF59">
        <v>7.9709100174625005E-4</v>
      </c>
      <c r="BG59" s="31">
        <f t="shared" si="267"/>
        <v>0</v>
      </c>
      <c r="BH59" s="31">
        <f t="shared" si="268"/>
        <v>0</v>
      </c>
      <c r="BI59" s="31">
        <f t="shared" si="269"/>
        <v>0</v>
      </c>
      <c r="BJ59" s="31">
        <f t="shared" si="270"/>
        <v>0</v>
      </c>
      <c r="BK59" s="655">
        <f t="shared" si="279"/>
        <v>0</v>
      </c>
      <c r="BL59">
        <v>2.34</v>
      </c>
      <c r="BM59">
        <f t="shared" si="271"/>
        <v>0</v>
      </c>
      <c r="BN59" s="419">
        <f t="shared" si="272"/>
        <v>0</v>
      </c>
      <c r="BO59">
        <v>600</v>
      </c>
      <c r="BP59" s="419">
        <f t="shared" si="273"/>
        <v>0</v>
      </c>
      <c r="BQ59" s="419"/>
      <c r="BR59" s="419"/>
      <c r="BT59" s="655">
        <f>SUM(BT56:BT58)</f>
        <v>263036.99088380265</v>
      </c>
      <c r="BU59" s="655">
        <f>SUM(BU56:BU58)</f>
        <v>271431.4438755252</v>
      </c>
      <c r="BV59" s="655">
        <f>SUM(BV56:BV58)</f>
        <v>240181.84062220942</v>
      </c>
      <c r="BX59" s="947" t="s">
        <v>293</v>
      </c>
      <c r="BY59">
        <v>45809</v>
      </c>
      <c r="BZ59">
        <f t="shared" si="249"/>
        <v>96.328649999999996</v>
      </c>
      <c r="CA59" s="121">
        <f t="shared" si="250"/>
        <v>3.7602175272254242E-2</v>
      </c>
      <c r="CB59" s="930" t="s">
        <v>335</v>
      </c>
      <c r="CC59" s="930">
        <f>BY56</f>
        <v>7390</v>
      </c>
      <c r="CD59" s="933">
        <v>2507</v>
      </c>
      <c r="CE59" s="930"/>
      <c r="CF59" s="930">
        <v>32.869999999999997</v>
      </c>
      <c r="CG59" s="931">
        <v>11997</v>
      </c>
      <c r="CI59" s="121">
        <f t="shared" si="251"/>
        <v>3.9525903105377451E-2</v>
      </c>
      <c r="CJ59" s="121">
        <f t="shared" ref="CJ59:CJ63" si="288">CD59/$CD$65</f>
        <v>2.8849252013808977E-2</v>
      </c>
      <c r="CL59" s="31">
        <f t="shared" si="253"/>
        <v>88.657830000000004</v>
      </c>
      <c r="CM59" s="121">
        <f t="shared" si="254"/>
        <v>3.4045610604671449E-2</v>
      </c>
      <c r="CP59" t="s">
        <v>302</v>
      </c>
      <c r="CQ59" s="147">
        <f>CM55</f>
        <v>1.6298300355246684E-2</v>
      </c>
      <c r="CR59" s="31">
        <f t="shared" si="245"/>
        <v>18.05535185356727</v>
      </c>
      <c r="CS59">
        <v>21.22</v>
      </c>
      <c r="CT59">
        <f t="shared" si="255"/>
        <v>0.2122</v>
      </c>
      <c r="CU59">
        <v>0.86499999999999999</v>
      </c>
      <c r="CV59">
        <f t="shared" si="256"/>
        <v>0.18355299999999999</v>
      </c>
      <c r="CW59">
        <v>43</v>
      </c>
      <c r="CX59">
        <f t="shared" si="257"/>
        <v>7.892779</v>
      </c>
      <c r="CY59">
        <v>74.054734089485805</v>
      </c>
      <c r="CZ59">
        <v>1.0094332347649E-4</v>
      </c>
      <c r="DA59">
        <v>2.0471581355555601E-3</v>
      </c>
      <c r="DB59" s="31">
        <f t="shared" si="258"/>
        <v>142.50690194744683</v>
      </c>
      <c r="DC59" s="31">
        <f t="shared" si="246"/>
        <v>10553.310729634602</v>
      </c>
      <c r="DD59" s="31">
        <f t="shared" si="247"/>
        <v>1.438512030091357E-2</v>
      </c>
      <c r="DE59" s="31">
        <f t="shared" si="248"/>
        <v>0.29173416369453431</v>
      </c>
      <c r="DF59" s="655">
        <f t="shared" si="259"/>
        <v>10633.382832908177</v>
      </c>
      <c r="DG59">
        <v>2.72</v>
      </c>
      <c r="DH59">
        <f t="shared" si="260"/>
        <v>10421260.204249371</v>
      </c>
      <c r="DI59" s="419">
        <f t="shared" si="261"/>
        <v>10421.260204249371</v>
      </c>
      <c r="DJ59">
        <v>630.9</v>
      </c>
      <c r="DK59" s="419">
        <f t="shared" si="262"/>
        <v>11391.121484415589</v>
      </c>
      <c r="DM59"/>
      <c r="DN59" s="123" t="e">
        <f>(DN57-FE58)/FE58</f>
        <v>#DIV/0!</v>
      </c>
      <c r="DO59" s="123" t="e">
        <f>(DO57-FF58)/FF58</f>
        <v>#DIV/0!</v>
      </c>
      <c r="DP59" s="123" t="e">
        <f>(DP57-FG58)/FG58</f>
        <v>#DIV/0!</v>
      </c>
    </row>
    <row r="60" spans="1:144" ht="17" thickBot="1" x14ac:dyDescent="1.2">
      <c r="A60" s="1161"/>
      <c r="B60" s="341" t="s">
        <v>326</v>
      </c>
      <c r="C60" s="342">
        <v>42610</v>
      </c>
      <c r="D60" s="343">
        <v>43068</v>
      </c>
      <c r="E60" s="344">
        <v>44500</v>
      </c>
      <c r="F60" s="345">
        <v>130178</v>
      </c>
      <c r="G60" s="382">
        <v>1467451.8695236738</v>
      </c>
      <c r="H60" s="1163"/>
      <c r="I60" s="362">
        <v>-6.5283200982757861E-2</v>
      </c>
      <c r="J60" s="363">
        <v>-2.3266022827041263E-2</v>
      </c>
      <c r="K60" s="364">
        <v>-6.7572987995301315E-2</v>
      </c>
      <c r="L60" s="365">
        <v>-6.7572987995301315E-2</v>
      </c>
      <c r="M60" s="510">
        <v>1.1174265725089949E-2</v>
      </c>
      <c r="P60" s="25" t="s">
        <v>386</v>
      </c>
      <c r="Q60" s="25" t="s">
        <v>387</v>
      </c>
      <c r="V60" s="963" t="s">
        <v>949</v>
      </c>
      <c r="W60" s="964">
        <v>938</v>
      </c>
      <c r="X60" s="964">
        <f>W60*Y60</f>
        <v>4772.5439999999999</v>
      </c>
      <c r="Y60" s="965">
        <v>5.0880000000000001</v>
      </c>
      <c r="AB60" s="992" t="s">
        <v>223</v>
      </c>
      <c r="AC60" s="986">
        <v>7390</v>
      </c>
      <c r="AD60">
        <v>6102</v>
      </c>
      <c r="AE60">
        <v>6159</v>
      </c>
      <c r="AG60" s="1235" t="s">
        <v>397</v>
      </c>
      <c r="AH60" s="1236"/>
      <c r="AI60" s="1236"/>
      <c r="AJ60" s="1236"/>
      <c r="AK60" s="1236"/>
      <c r="AL60" s="1237"/>
      <c r="AP60">
        <f t="shared" si="277"/>
        <v>0</v>
      </c>
      <c r="AR60" s="121">
        <f t="shared" si="278"/>
        <v>0</v>
      </c>
      <c r="AT60" t="str">
        <f>AG72</f>
        <v>Vörubifreiðar ≤12t</v>
      </c>
      <c r="AU60" t="s">
        <v>302</v>
      </c>
      <c r="AV60" s="147">
        <f>AR58</f>
        <v>1.1104679649904681E-2</v>
      </c>
      <c r="AW60" s="31">
        <f t="shared" si="263"/>
        <v>12.867712770704495</v>
      </c>
      <c r="AX60">
        <v>21.22</v>
      </c>
      <c r="AY60">
        <f t="shared" si="264"/>
        <v>0.2122</v>
      </c>
      <c r="AZ60">
        <v>0.86499999999999999</v>
      </c>
      <c r="BA60">
        <f t="shared" si="265"/>
        <v>0.18355299999999999</v>
      </c>
      <c r="BB60">
        <v>43</v>
      </c>
      <c r="BC60">
        <f t="shared" si="266"/>
        <v>7.892779</v>
      </c>
      <c r="BD60">
        <v>73.510933419406996</v>
      </c>
      <c r="BE60">
        <v>4.2902402724440002E-5</v>
      </c>
      <c r="BF60">
        <v>1.9977997001881498E-3</v>
      </c>
      <c r="BG60" s="31">
        <f t="shared" si="267"/>
        <v>101.56201313464825</v>
      </c>
      <c r="BH60" s="31">
        <f t="shared" si="268"/>
        <v>7465.9183854820667</v>
      </c>
      <c r="BI60" s="31">
        <f t="shared" si="269"/>
        <v>4.3572543890075446E-3</v>
      </c>
      <c r="BJ60" s="31">
        <f t="shared" si="270"/>
        <v>0.20290055939090521</v>
      </c>
      <c r="BK60" s="655">
        <f t="shared" si="279"/>
        <v>7519.8090368435487</v>
      </c>
      <c r="BL60">
        <v>2.72</v>
      </c>
      <c r="BM60">
        <f t="shared" si="271"/>
        <v>7427037.9278463032</v>
      </c>
      <c r="BN60" s="419">
        <f t="shared" si="272"/>
        <v>7427.0379278463033</v>
      </c>
      <c r="BO60">
        <v>650</v>
      </c>
      <c r="BP60" s="419">
        <f t="shared" si="273"/>
        <v>8364.0133009579222</v>
      </c>
      <c r="BQ60" s="419"/>
      <c r="BR60" s="419"/>
      <c r="BX60" s="947" t="s">
        <v>294</v>
      </c>
      <c r="BY60">
        <v>479</v>
      </c>
      <c r="BZ60">
        <f t="shared" si="249"/>
        <v>183.40792200000001</v>
      </c>
      <c r="CA60" s="121">
        <f t="shared" si="250"/>
        <v>7.1593828309271801E-2</v>
      </c>
      <c r="CB60" s="932" t="s">
        <v>336</v>
      </c>
      <c r="CC60" s="932">
        <f>BY54</f>
        <v>12533</v>
      </c>
      <c r="CD60" s="938">
        <v>3078</v>
      </c>
      <c r="CE60" s="932"/>
      <c r="CF60" s="932">
        <v>40.06</v>
      </c>
      <c r="CG60" s="934">
        <v>14622</v>
      </c>
      <c r="CI60" s="121">
        <f t="shared" si="251"/>
        <v>6.7033578297658394E-2</v>
      </c>
      <c r="CJ60" s="121">
        <f t="shared" si="288"/>
        <v>3.5420023014959723E-2</v>
      </c>
      <c r="CL60" s="31">
        <f t="shared" si="253"/>
        <v>183.25752600000001</v>
      </c>
      <c r="CM60" s="121">
        <f t="shared" si="254"/>
        <v>7.0372965033900031E-2</v>
      </c>
      <c r="CO60" t="str">
        <f>CB55</f>
        <v>Vörubifreiðar ≤12t</v>
      </c>
      <c r="CP60" t="s">
        <v>264</v>
      </c>
      <c r="CQ60" s="147">
        <f>CM49</f>
        <v>0</v>
      </c>
      <c r="CR60" s="31">
        <f t="shared" si="245"/>
        <v>0</v>
      </c>
      <c r="CS60">
        <v>25</v>
      </c>
      <c r="CT60">
        <f t="shared" si="255"/>
        <v>0.25</v>
      </c>
      <c r="CU60">
        <v>0.75</v>
      </c>
      <c r="CV60">
        <f t="shared" si="256"/>
        <v>0.1875</v>
      </c>
      <c r="CW60">
        <v>44.3</v>
      </c>
      <c r="CX60">
        <f t="shared" si="257"/>
        <v>8.3062499999999986</v>
      </c>
      <c r="CY60">
        <v>71.051104664576499</v>
      </c>
      <c r="CZ60">
        <v>1.53682172957139E-2</v>
      </c>
      <c r="DA60">
        <v>8.2329735512008E-4</v>
      </c>
      <c r="DB60" s="31">
        <f t="shared" si="258"/>
        <v>0</v>
      </c>
      <c r="DC60" s="31">
        <f t="shared" si="246"/>
        <v>0</v>
      </c>
      <c r="DD60" s="31">
        <f t="shared" si="247"/>
        <v>0</v>
      </c>
      <c r="DE60" s="31">
        <f t="shared" si="248"/>
        <v>0</v>
      </c>
      <c r="DF60" s="655">
        <f t="shared" si="259"/>
        <v>0</v>
      </c>
      <c r="DG60">
        <v>2.34</v>
      </c>
      <c r="DH60">
        <f t="shared" si="260"/>
        <v>0</v>
      </c>
      <c r="DI60" s="419">
        <f t="shared" si="261"/>
        <v>0</v>
      </c>
      <c r="DJ60">
        <v>512.9</v>
      </c>
      <c r="DK60" s="419">
        <f t="shared" si="262"/>
        <v>0</v>
      </c>
      <c r="DM60"/>
      <c r="DN60"/>
      <c r="DO60"/>
      <c r="DP60"/>
    </row>
    <row r="61" spans="1:144" ht="26.25" thickBot="1" x14ac:dyDescent="1.2">
      <c r="A61" s="1162"/>
      <c r="B61" s="520" t="s">
        <v>327</v>
      </c>
      <c r="C61" s="350">
        <v>41091</v>
      </c>
      <c r="D61" s="351">
        <v>44677</v>
      </c>
      <c r="E61" s="352">
        <v>42705</v>
      </c>
      <c r="F61" s="386">
        <v>128473</v>
      </c>
      <c r="G61" s="382">
        <v>1595924.8695236738</v>
      </c>
      <c r="H61" s="1163"/>
      <c r="I61" s="366">
        <v>-2.0476758045292014E-2</v>
      </c>
      <c r="J61" s="367">
        <v>1.3335548015091474E-2</v>
      </c>
      <c r="K61" s="368">
        <v>-1.8443390099857182E-2</v>
      </c>
      <c r="L61" s="369">
        <v>-1.8443390099857182E-2</v>
      </c>
      <c r="M61" s="513">
        <v>8.7240342085199707E-3</v>
      </c>
      <c r="O61" s="25" t="s">
        <v>264</v>
      </c>
      <c r="P61">
        <v>0.75</v>
      </c>
      <c r="Q61">
        <v>44.3</v>
      </c>
      <c r="V61" s="963" t="s">
        <v>950</v>
      </c>
      <c r="W61" s="964">
        <v>85</v>
      </c>
      <c r="X61" s="964">
        <f>W61*Y61</f>
        <v>432.99</v>
      </c>
      <c r="Y61" s="965">
        <v>5.0940000000000003</v>
      </c>
      <c r="Z61">
        <f>X61/X63</f>
        <v>7.9820696085727574E-2</v>
      </c>
      <c r="AB61" s="992" t="s">
        <v>301</v>
      </c>
      <c r="AC61" s="986">
        <v>9</v>
      </c>
      <c r="AD61">
        <v>2</v>
      </c>
      <c r="AE61">
        <v>2</v>
      </c>
      <c r="AG61" s="978" t="s">
        <v>334</v>
      </c>
      <c r="AH61" s="978">
        <f>AD93</f>
        <v>10974</v>
      </c>
      <c r="AI61" s="979">
        <v>1681</v>
      </c>
      <c r="AJ61" s="978"/>
      <c r="AK61" s="978">
        <v>35.450000000000003</v>
      </c>
      <c r="AL61" s="980">
        <v>12941</v>
      </c>
      <c r="AN61" s="994">
        <f t="shared" ref="AN61:AN66" si="289">AH61/$AH$68</f>
        <v>0.12628744375525047</v>
      </c>
      <c r="AO61" s="121">
        <f t="shared" ref="AO61:AO66" si="290">AI61/$AI$68</f>
        <v>3.1989191040742923E-2</v>
      </c>
      <c r="AP61">
        <f t="shared" si="277"/>
        <v>142.014534</v>
      </c>
      <c r="AR61" s="121">
        <f t="shared" si="278"/>
        <v>0.10624621875113875</v>
      </c>
      <c r="AU61" t="s">
        <v>264</v>
      </c>
      <c r="AV61" s="147">
        <f>AR51</f>
        <v>8.8611500056333156E-5</v>
      </c>
      <c r="AW61" s="31">
        <f t="shared" si="263"/>
        <v>0.10267989413957994</v>
      </c>
      <c r="AX61">
        <v>25</v>
      </c>
      <c r="AY61">
        <f t="shared" si="264"/>
        <v>0.25</v>
      </c>
      <c r="AZ61">
        <v>0.75</v>
      </c>
      <c r="BA61">
        <f t="shared" si="265"/>
        <v>0.1875</v>
      </c>
      <c r="BB61">
        <v>44.3</v>
      </c>
      <c r="BC61">
        <f t="shared" si="266"/>
        <v>8.3062499999999986</v>
      </c>
      <c r="BD61">
        <v>72.359362764196504</v>
      </c>
      <c r="BE61">
        <v>5.55086147563961E-3</v>
      </c>
      <c r="BF61">
        <v>8.3689723040105996E-4</v>
      </c>
      <c r="BG61" s="31">
        <f t="shared" si="267"/>
        <v>0.85288487069688568</v>
      </c>
      <c r="BH61" s="31">
        <f t="shared" si="268"/>
        <v>61.714205754850781</v>
      </c>
      <c r="BI61" s="31">
        <f t="shared" si="269"/>
        <v>4.7342457719072124E-3</v>
      </c>
      <c r="BJ61" s="31">
        <f t="shared" si="270"/>
        <v>7.1377698613718976E-4</v>
      </c>
      <c r="BK61" s="655">
        <f t="shared" si="279"/>
        <v>62.035915537790537</v>
      </c>
      <c r="BL61">
        <v>2.34</v>
      </c>
      <c r="BM61">
        <f t="shared" si="271"/>
        <v>60067.738071654261</v>
      </c>
      <c r="BN61" s="419">
        <f t="shared" si="272"/>
        <v>60.067738071654261</v>
      </c>
      <c r="BO61">
        <v>509</v>
      </c>
      <c r="BP61" s="419">
        <f t="shared" si="273"/>
        <v>52.264066117046191</v>
      </c>
      <c r="BQ61" s="419"/>
      <c r="BR61" s="419"/>
      <c r="BT61" s="123">
        <f>BT59/BT54</f>
        <v>1</v>
      </c>
      <c r="BU61" s="123">
        <f>BU59/BU54</f>
        <v>1</v>
      </c>
      <c r="BV61" s="123">
        <f>BV59/BV54</f>
        <v>1.0000000000000002</v>
      </c>
      <c r="BX61" s="947" t="s">
        <v>297</v>
      </c>
      <c r="BY61">
        <v>1002</v>
      </c>
      <c r="BZ61">
        <f t="shared" si="249"/>
        <v>15.729944</v>
      </c>
      <c r="CA61" s="121">
        <f t="shared" si="250"/>
        <v>6.1402304642569367E-3</v>
      </c>
      <c r="CB61" s="930" t="s">
        <v>337</v>
      </c>
      <c r="CC61" s="930">
        <f>BY71</f>
        <v>718</v>
      </c>
      <c r="CD61" s="930">
        <v>15</v>
      </c>
      <c r="CE61" s="930"/>
      <c r="CF61" s="930" t="s">
        <v>184</v>
      </c>
      <c r="CG61" s="939" t="s">
        <v>184</v>
      </c>
      <c r="CI61" s="121">
        <f t="shared" si="251"/>
        <v>3.8402704234994597E-3</v>
      </c>
      <c r="CJ61" s="121">
        <f t="shared" si="288"/>
        <v>1.7261219792865363E-4</v>
      </c>
      <c r="CL61" s="31"/>
      <c r="CM61" s="121">
        <f t="shared" si="254"/>
        <v>0</v>
      </c>
      <c r="CP61" t="s">
        <v>302</v>
      </c>
      <c r="CQ61" s="147">
        <f>CM56</f>
        <v>4.0649039364435847E-2</v>
      </c>
      <c r="CR61" s="31">
        <f t="shared" si="245"/>
        <v>45.031242045930938</v>
      </c>
      <c r="CS61">
        <v>21.22</v>
      </c>
      <c r="CT61">
        <f t="shared" si="255"/>
        <v>0.2122</v>
      </c>
      <c r="CU61">
        <v>0.86499999999999999</v>
      </c>
      <c r="CV61">
        <f t="shared" si="256"/>
        <v>0.18355299999999999</v>
      </c>
      <c r="CW61">
        <v>43</v>
      </c>
      <c r="CX61">
        <f t="shared" si="257"/>
        <v>7.892779</v>
      </c>
      <c r="CY61">
        <v>74.054734089485507</v>
      </c>
      <c r="CZ61">
        <v>1.4363980931045299E-3</v>
      </c>
      <c r="DA61">
        <v>3.0837733297494202E-3</v>
      </c>
      <c r="DB61" s="31">
        <f t="shared" si="258"/>
        <v>355.42164156404073</v>
      </c>
      <c r="DC61" s="31">
        <f t="shared" si="246"/>
        <v>26320.655155673467</v>
      </c>
      <c r="DD61" s="31">
        <f t="shared" si="247"/>
        <v>0.51052696819066978</v>
      </c>
      <c r="DE61" s="31">
        <f t="shared" si="248"/>
        <v>1.0960397790709469</v>
      </c>
      <c r="DF61" s="655">
        <f t="shared" si="259"/>
        <v>26635.087719011917</v>
      </c>
      <c r="DG61">
        <v>2.72</v>
      </c>
      <c r="DH61">
        <f t="shared" si="260"/>
        <v>25991312.409038603</v>
      </c>
      <c r="DI61" s="419">
        <f t="shared" si="261"/>
        <v>25991.312409038605</v>
      </c>
      <c r="DJ61">
        <v>630.9</v>
      </c>
      <c r="DK61" s="419">
        <f t="shared" si="262"/>
        <v>28410.210606777826</v>
      </c>
    </row>
    <row r="62" spans="1:144" ht="26.25" thickBot="1" x14ac:dyDescent="1.2">
      <c r="A62" s="514" t="s">
        <v>329</v>
      </c>
      <c r="B62" s="370"/>
      <c r="C62" s="356">
        <v>42138.462600146777</v>
      </c>
      <c r="D62" s="356">
        <v>45501.244565350084</v>
      </c>
      <c r="E62" s="356">
        <v>45354.031961475965</v>
      </c>
      <c r="F62" s="357">
        <v>132993.73912697283</v>
      </c>
      <c r="G62" s="357"/>
      <c r="H62" s="1164"/>
      <c r="I62" s="371">
        <v>-1.9760298530088205E-2</v>
      </c>
      <c r="J62" s="371">
        <v>1.8596441278226683E-2</v>
      </c>
      <c r="K62" s="372">
        <v>2.6455729851725174E-2</v>
      </c>
      <c r="L62" s="373"/>
      <c r="M62" s="372">
        <v>8.7240342085199707E-3</v>
      </c>
      <c r="O62" s="25" t="s">
        <v>302</v>
      </c>
      <c r="P62">
        <v>0.85</v>
      </c>
      <c r="Q62">
        <v>43</v>
      </c>
      <c r="V62" s="966" t="s">
        <v>951</v>
      </c>
      <c r="W62" s="964">
        <v>43</v>
      </c>
      <c r="X62" s="964">
        <f>W62*Y62</f>
        <v>218.999</v>
      </c>
      <c r="Y62" s="965">
        <v>5.093</v>
      </c>
      <c r="AB62" s="988" t="s">
        <v>312</v>
      </c>
      <c r="AC62" s="989">
        <v>66517</v>
      </c>
      <c r="AG62" s="981" t="s">
        <v>335</v>
      </c>
      <c r="AH62" s="981">
        <f>AD60</f>
        <v>6102</v>
      </c>
      <c r="AI62" s="983">
        <v>1743</v>
      </c>
      <c r="AJ62" s="981"/>
      <c r="AK62" s="981">
        <v>35.71</v>
      </c>
      <c r="AL62" s="982">
        <v>13035</v>
      </c>
      <c r="AN62" s="994">
        <f t="shared" si="289"/>
        <v>7.0221066319895969E-2</v>
      </c>
      <c r="AO62" s="121">
        <f t="shared" si="290"/>
        <v>3.3169042227254565E-2</v>
      </c>
      <c r="AP62">
        <f t="shared" si="277"/>
        <v>79.539569999999998</v>
      </c>
      <c r="AR62" s="121">
        <f t="shared" si="278"/>
        <v>5.9506434416012048E-2</v>
      </c>
      <c r="AT62" t="str">
        <f>AG73</f>
        <v>Vörubifreiðar &gt;12t</v>
      </c>
      <c r="AU62" t="s">
        <v>302</v>
      </c>
      <c r="AV62" s="147">
        <f>AR59</f>
        <v>3.6265209710651516E-2</v>
      </c>
      <c r="AW62" s="31">
        <f t="shared" si="263"/>
        <v>42.022851341779386</v>
      </c>
      <c r="AX62">
        <v>21.22</v>
      </c>
      <c r="AY62">
        <f t="shared" si="264"/>
        <v>0.2122</v>
      </c>
      <c r="AZ62">
        <v>0.86499999999999999</v>
      </c>
      <c r="BA62">
        <f t="shared" si="265"/>
        <v>0.18355299999999999</v>
      </c>
      <c r="BB62">
        <v>43</v>
      </c>
      <c r="BC62">
        <f t="shared" si="266"/>
        <v>7.892779</v>
      </c>
      <c r="BD62">
        <v>73.510933419407394</v>
      </c>
      <c r="BE62">
        <v>8.2398639563294998E-4</v>
      </c>
      <c r="BF62">
        <v>3.54663097127342E-3</v>
      </c>
      <c r="BG62" s="31">
        <f t="shared" si="267"/>
        <v>331.67707859051814</v>
      </c>
      <c r="BH62" s="31">
        <f t="shared" si="268"/>
        <v>24381.891641011131</v>
      </c>
      <c r="BI62" s="31">
        <f t="shared" si="269"/>
        <v>0.27329740050186774</v>
      </c>
      <c r="BJ62" s="31">
        <f t="shared" si="270"/>
        <v>1.1763361993906198</v>
      </c>
      <c r="BK62" s="655">
        <f t="shared" si="279"/>
        <v>24701.273061063697</v>
      </c>
      <c r="BL62">
        <v>2.72</v>
      </c>
      <c r="BM62">
        <f t="shared" si="271"/>
        <v>24254917.428853594</v>
      </c>
      <c r="BN62" s="419">
        <f t="shared" si="272"/>
        <v>24254.917428853594</v>
      </c>
      <c r="BO62">
        <v>650</v>
      </c>
      <c r="BP62" s="419">
        <f t="shared" si="273"/>
        <v>27314.853372156602</v>
      </c>
      <c r="BQ62" s="419"/>
      <c r="BR62" s="419"/>
      <c r="BX62" s="947" t="s">
        <v>296</v>
      </c>
      <c r="BY62">
        <v>13580</v>
      </c>
      <c r="BZ62">
        <f t="shared" si="249"/>
        <v>10.003344</v>
      </c>
      <c r="CA62" s="121">
        <f t="shared" si="250"/>
        <v>3.9048351076928084E-3</v>
      </c>
      <c r="CB62" s="932" t="s">
        <v>339</v>
      </c>
      <c r="CC62" s="932">
        <f>BY69</f>
        <v>624</v>
      </c>
      <c r="CD62" s="932">
        <v>235</v>
      </c>
      <c r="CE62" s="932"/>
      <c r="CF62" s="932">
        <v>45.53</v>
      </c>
      <c r="CG62" s="934">
        <v>16619</v>
      </c>
      <c r="CI62" s="121">
        <f t="shared" si="251"/>
        <v>3.3375052148518982E-3</v>
      </c>
      <c r="CJ62" s="121">
        <f t="shared" si="288"/>
        <v>2.7042577675489067E-3</v>
      </c>
      <c r="CL62" s="31">
        <f t="shared" si="253"/>
        <v>10.370255999999999</v>
      </c>
      <c r="CM62" s="121">
        <f t="shared" si="254"/>
        <v>3.9822957278196148E-3</v>
      </c>
      <c r="CQ62" s="147">
        <f>SUM(CQ44:CQ61)</f>
        <v>0.99806026664412195</v>
      </c>
    </row>
    <row r="63" spans="1:144" ht="17" thickBot="1" x14ac:dyDescent="1.2">
      <c r="A63" s="1226">
        <v>2009</v>
      </c>
      <c r="B63" s="521" t="s">
        <v>295</v>
      </c>
      <c r="C63" s="334">
        <v>40051</v>
      </c>
      <c r="D63" s="335">
        <v>41955</v>
      </c>
      <c r="E63" s="336">
        <v>42020</v>
      </c>
      <c r="F63" s="337">
        <v>124026</v>
      </c>
      <c r="G63" s="381">
        <v>124026</v>
      </c>
      <c r="H63" s="1165" t="s">
        <v>341</v>
      </c>
      <c r="I63" s="522">
        <v>-4.8195061669716488E-2</v>
      </c>
      <c r="J63" s="523">
        <v>1.4045079395723732E-2</v>
      </c>
      <c r="K63" s="524">
        <v>-2.682725881752912E-2</v>
      </c>
      <c r="L63" s="361">
        <v>-2.682725881752912E-2</v>
      </c>
      <c r="M63" s="525">
        <v>-2.682725881752912E-2</v>
      </c>
      <c r="V63" s="967" t="s">
        <v>953</v>
      </c>
      <c r="W63" s="968">
        <f>SUM(W60:W62)</f>
        <v>1066</v>
      </c>
      <c r="X63" s="968">
        <f>SUM(X60:X62)</f>
        <v>5424.5329999999994</v>
      </c>
      <c r="Y63" s="960">
        <f>SUMPRODUCT(W60:W62,Y60:Y62)/W63</f>
        <v>5.0886801125703558</v>
      </c>
      <c r="Z63">
        <f>X62/X63</f>
        <v>4.0371954599594105E-2</v>
      </c>
      <c r="AB63" s="992" t="s">
        <v>223</v>
      </c>
      <c r="AC63" s="986">
        <v>45809</v>
      </c>
      <c r="AD63">
        <v>23627</v>
      </c>
      <c r="AE63">
        <v>25568</v>
      </c>
      <c r="AG63" s="981" t="s">
        <v>336</v>
      </c>
      <c r="AH63" s="981">
        <f>AD58</f>
        <v>8377</v>
      </c>
      <c r="AI63" s="983">
        <v>2114</v>
      </c>
      <c r="AJ63" s="981"/>
      <c r="AK63" s="981">
        <v>40.090000000000003</v>
      </c>
      <c r="AL63" s="982">
        <v>14634</v>
      </c>
      <c r="AN63" s="994">
        <f t="shared" si="289"/>
        <v>9.6401486817726728E-2</v>
      </c>
      <c r="AO63" s="121">
        <f t="shared" si="290"/>
        <v>4.0229119488477419E-2</v>
      </c>
      <c r="AP63">
        <f t="shared" si="277"/>
        <v>122.589018</v>
      </c>
      <c r="AR63" s="121">
        <f t="shared" si="278"/>
        <v>9.1713286352193252E-2</v>
      </c>
      <c r="AU63" t="s">
        <v>264</v>
      </c>
      <c r="AV63" s="147">
        <f>AR52</f>
        <v>0</v>
      </c>
      <c r="AW63" s="31">
        <f t="shared" si="263"/>
        <v>0</v>
      </c>
      <c r="AX63">
        <v>25</v>
      </c>
      <c r="AY63">
        <f t="shared" si="264"/>
        <v>0.25</v>
      </c>
      <c r="AZ63">
        <v>0.75</v>
      </c>
      <c r="BA63">
        <f t="shared" si="265"/>
        <v>0.1875</v>
      </c>
      <c r="BB63">
        <v>44.3</v>
      </c>
      <c r="BC63">
        <f t="shared" si="266"/>
        <v>8.3062499999999986</v>
      </c>
      <c r="BD63">
        <v>72.326894595976398</v>
      </c>
      <c r="BE63">
        <v>1.4879032033184299E-2</v>
      </c>
      <c r="BF63">
        <v>7.9709100174625005E-4</v>
      </c>
      <c r="BG63" s="31">
        <f t="shared" si="267"/>
        <v>0</v>
      </c>
      <c r="BH63" s="31">
        <f t="shared" si="268"/>
        <v>0</v>
      </c>
      <c r="BI63" s="31">
        <f t="shared" si="269"/>
        <v>0</v>
      </c>
      <c r="BJ63" s="31">
        <f t="shared" si="270"/>
        <v>0</v>
      </c>
      <c r="BK63" s="655">
        <f t="shared" si="279"/>
        <v>0</v>
      </c>
      <c r="BL63">
        <v>2.34</v>
      </c>
      <c r="BM63">
        <f t="shared" si="271"/>
        <v>0</v>
      </c>
      <c r="BN63" s="419">
        <f t="shared" si="272"/>
        <v>0</v>
      </c>
      <c r="BO63">
        <v>509</v>
      </c>
      <c r="BP63" s="419">
        <f t="shared" si="273"/>
        <v>0</v>
      </c>
      <c r="BQ63" s="419"/>
      <c r="BR63" s="419"/>
      <c r="BS63" s="419"/>
      <c r="BT63" s="419"/>
      <c r="BU63" s="419"/>
      <c r="BV63" s="419"/>
      <c r="BX63" s="947" t="s">
        <v>305</v>
      </c>
      <c r="BY63">
        <v>2443</v>
      </c>
      <c r="BZ63">
        <f t="shared" si="249"/>
        <v>14.015616</v>
      </c>
      <c r="CA63" s="121">
        <f t="shared" si="250"/>
        <v>5.4710374263587302E-3</v>
      </c>
      <c r="CB63" s="930" t="s">
        <v>340</v>
      </c>
      <c r="CC63" s="930">
        <f>BY50</f>
        <v>1088</v>
      </c>
      <c r="CD63" s="930">
        <v>680</v>
      </c>
      <c r="CE63" s="930"/>
      <c r="CF63" s="930">
        <v>44.58</v>
      </c>
      <c r="CG63" s="931">
        <v>16273</v>
      </c>
      <c r="CI63" s="121">
        <f t="shared" si="251"/>
        <v>5.8192398617930531E-3</v>
      </c>
      <c r="CJ63" s="121">
        <f t="shared" si="288"/>
        <v>7.8250863060989641E-3</v>
      </c>
      <c r="CL63" s="31">
        <f t="shared" si="253"/>
        <v>17.705024000000002</v>
      </c>
      <c r="CM63" s="121">
        <f t="shared" si="254"/>
        <v>6.7989296923956126E-3</v>
      </c>
      <c r="CQ63" s="147"/>
      <c r="CR63" s="31"/>
      <c r="DB63" s="31">
        <f>SUM(DB44:DB62)</f>
        <v>3663.0351592942543</v>
      </c>
      <c r="DC63" s="31">
        <f>SUM(DC44:DC62)</f>
        <v>267165.76018508954</v>
      </c>
      <c r="DD63" s="31">
        <f>SUM(DD44:DD62)</f>
        <v>10.709535067280587</v>
      </c>
      <c r="DE63" s="31">
        <f>SUM(DE44:DE62)</f>
        <v>6.9979044850175178</v>
      </c>
      <c r="DF63" s="655">
        <f>DC63+DD63*DD41+DE63*DE41</f>
        <v>269395.33225450432</v>
      </c>
      <c r="DH63" s="31">
        <f>SUM(DH44:DH62)</f>
        <v>274745457.47945678</v>
      </c>
      <c r="DI63" s="655">
        <f>SUM(DI44:DI62)</f>
        <v>274745.45747945673</v>
      </c>
      <c r="DK63" s="419">
        <f>SUM(DK44:DK61)</f>
        <v>243907.83938059775</v>
      </c>
    </row>
    <row r="64" spans="1:144" ht="17" thickBot="1" x14ac:dyDescent="1.2">
      <c r="A64" s="1161"/>
      <c r="B64" s="526" t="s">
        <v>299</v>
      </c>
      <c r="C64" s="342">
        <v>41468</v>
      </c>
      <c r="D64" s="343">
        <v>43176</v>
      </c>
      <c r="E64" s="344">
        <v>43833</v>
      </c>
      <c r="F64" s="345">
        <v>128477</v>
      </c>
      <c r="G64" s="382">
        <v>252503</v>
      </c>
      <c r="H64" s="1163"/>
      <c r="I64" s="362">
        <v>-1.7602046859823268E-2</v>
      </c>
      <c r="J64" s="363">
        <v>5.4132165057228709E-3</v>
      </c>
      <c r="K64" s="364">
        <v>-2.315202019434015E-2</v>
      </c>
      <c r="L64" s="365">
        <v>-2.315202019434015E-2</v>
      </c>
      <c r="M64" s="510">
        <v>-2.4960709279560733E-2</v>
      </c>
      <c r="V64" s="969" t="s">
        <v>952</v>
      </c>
      <c r="W64" s="970"/>
      <c r="X64" s="674"/>
      <c r="Y64" s="674"/>
      <c r="Z64">
        <f>Z63+Z61</f>
        <v>0.12019265068532167</v>
      </c>
      <c r="AB64" s="992" t="s">
        <v>294</v>
      </c>
      <c r="AC64" s="986">
        <v>479</v>
      </c>
      <c r="AD64">
        <v>161</v>
      </c>
      <c r="AE64">
        <v>70</v>
      </c>
      <c r="AG64" s="981" t="s">
        <v>337</v>
      </c>
      <c r="AH64" s="981"/>
      <c r="AI64" s="981">
        <v>56</v>
      </c>
      <c r="AJ64" s="981"/>
      <c r="AK64" s="981">
        <v>60.02</v>
      </c>
      <c r="AL64" s="982">
        <v>21908</v>
      </c>
      <c r="AN64" s="994">
        <f t="shared" si="289"/>
        <v>0</v>
      </c>
      <c r="AO64" s="121">
        <f t="shared" si="290"/>
        <v>1.0656720394298656E-3</v>
      </c>
      <c r="AP64">
        <f t="shared" si="277"/>
        <v>0</v>
      </c>
      <c r="AR64" s="121">
        <f t="shared" si="278"/>
        <v>0</v>
      </c>
      <c r="AV64" s="147"/>
      <c r="AW64" s="31"/>
      <c r="BG64" s="31"/>
      <c r="BH64" s="31"/>
      <c r="BI64" s="31"/>
      <c r="BJ64" s="31"/>
      <c r="BK64" s="655"/>
      <c r="BN64" s="419"/>
      <c r="BP64" s="419"/>
      <c r="BQ64" s="419"/>
      <c r="BR64" s="419"/>
      <c r="BS64" s="419"/>
      <c r="BT64" s="419">
        <f>BT56/$BT$59</f>
        <v>0.69431917049742198</v>
      </c>
      <c r="BU64" s="419"/>
      <c r="BV64" s="419"/>
      <c r="BX64" s="947" t="s">
        <v>308</v>
      </c>
      <c r="BY64">
        <v>3204</v>
      </c>
      <c r="BZ64">
        <f>IFERROR(CC64*AL67/1000000,0)</f>
        <v>0</v>
      </c>
      <c r="CA64" s="121">
        <f t="shared" si="250"/>
        <v>0</v>
      </c>
      <c r="CB64" s="1145" t="s">
        <v>122</v>
      </c>
      <c r="CC64" s="1146"/>
      <c r="CD64" s="1146"/>
      <c r="CE64" s="1146"/>
      <c r="CF64" s="1146"/>
      <c r="CG64" s="1147"/>
      <c r="CI64" s="121"/>
      <c r="CL64" s="31"/>
      <c r="CM64" s="121"/>
    </row>
    <row r="65" spans="1:110" ht="17" thickBot="1" x14ac:dyDescent="1.2">
      <c r="A65" s="1161"/>
      <c r="B65" s="526" t="s">
        <v>303</v>
      </c>
      <c r="C65" s="342">
        <v>42649</v>
      </c>
      <c r="D65" s="343">
        <v>43974</v>
      </c>
      <c r="E65" s="344">
        <v>45207</v>
      </c>
      <c r="F65" s="345">
        <v>131830</v>
      </c>
      <c r="G65" s="382">
        <v>384333</v>
      </c>
      <c r="H65" s="1163"/>
      <c r="I65" s="362">
        <v>-5.4926819836138121E-3</v>
      </c>
      <c r="J65" s="363">
        <v>3.3279239331672421E-2</v>
      </c>
      <c r="K65" s="364">
        <v>2.0328641835818395E-3</v>
      </c>
      <c r="L65" s="365">
        <v>2.0328641835818395E-3</v>
      </c>
      <c r="M65" s="510">
        <v>-1.5867048172648834E-2</v>
      </c>
      <c r="AB65" s="992" t="s">
        <v>297</v>
      </c>
      <c r="AC65" s="986">
        <v>1002</v>
      </c>
      <c r="AD65">
        <v>542</v>
      </c>
      <c r="AE65">
        <v>678</v>
      </c>
      <c r="AG65" s="981" t="s">
        <v>339</v>
      </c>
      <c r="AH65" s="981"/>
      <c r="AI65" s="981">
        <v>132</v>
      </c>
      <c r="AJ65" s="981"/>
      <c r="AK65" s="981">
        <v>43.92</v>
      </c>
      <c r="AL65" s="982">
        <v>16031</v>
      </c>
      <c r="AN65" s="994">
        <f t="shared" si="289"/>
        <v>0</v>
      </c>
      <c r="AO65" s="121">
        <f t="shared" si="290"/>
        <v>2.5119412357989686E-3</v>
      </c>
      <c r="AP65">
        <f t="shared" si="277"/>
        <v>0</v>
      </c>
      <c r="AR65" s="121">
        <f t="shared" si="278"/>
        <v>0</v>
      </c>
      <c r="BK65" s="419"/>
      <c r="BN65" s="419"/>
      <c r="BP65" s="419"/>
      <c r="BQ65" s="419"/>
      <c r="BR65" s="419"/>
      <c r="BS65" s="123"/>
      <c r="BT65" s="419">
        <f>BT57/$BT$59</f>
        <v>6.7688359961560488E-2</v>
      </c>
      <c r="BU65" s="123"/>
      <c r="BV65" s="123"/>
      <c r="BX65" s="945" t="s">
        <v>766</v>
      </c>
      <c r="BY65" s="946">
        <v>3</v>
      </c>
      <c r="BZ65">
        <f t="shared" si="249"/>
        <v>2089.6512120000002</v>
      </c>
      <c r="CA65" s="121">
        <f t="shared" si="250"/>
        <v>0.81570157093972051</v>
      </c>
      <c r="CB65" s="935" t="s">
        <v>223</v>
      </c>
      <c r="CC65" s="935">
        <f>CC44+CC51+CC58+CC59+CC60+CC61+CC62+CC63</f>
        <v>163203</v>
      </c>
      <c r="CD65" s="936">
        <v>86900</v>
      </c>
      <c r="CE65" s="935"/>
      <c r="CF65" s="935">
        <v>35.92</v>
      </c>
      <c r="CG65" s="937">
        <v>13110</v>
      </c>
      <c r="CI65" s="121">
        <f t="shared" si="251"/>
        <v>0.87290202496710634</v>
      </c>
      <c r="CL65" s="31">
        <f t="shared" si="253"/>
        <v>2139.5913300000002</v>
      </c>
      <c r="CM65" s="121">
        <f t="shared" si="254"/>
        <v>0.8216272976037321</v>
      </c>
    </row>
    <row r="66" spans="1:110" ht="17" thickBot="1" x14ac:dyDescent="1.2">
      <c r="A66" s="1161"/>
      <c r="B66" s="526" t="s">
        <v>306</v>
      </c>
      <c r="C66" s="342">
        <v>40139</v>
      </c>
      <c r="D66" s="343">
        <v>43031</v>
      </c>
      <c r="E66" s="344">
        <v>44800</v>
      </c>
      <c r="F66" s="345">
        <v>127970</v>
      </c>
      <c r="G66" s="382">
        <v>512303</v>
      </c>
      <c r="H66" s="1163"/>
      <c r="I66" s="362">
        <v>-0.11398803611239874</v>
      </c>
      <c r="J66" s="363">
        <v>-5.2493549342244407E-2</v>
      </c>
      <c r="K66" s="364">
        <v>-9.1212521482239017E-2</v>
      </c>
      <c r="L66" s="365">
        <v>-9.1212521482239017E-2</v>
      </c>
      <c r="M66" s="510">
        <v>-3.5834727190527604E-2</v>
      </c>
      <c r="AB66" s="992" t="s">
        <v>301</v>
      </c>
      <c r="AC66" s="986">
        <v>13580</v>
      </c>
      <c r="AD66">
        <v>6626</v>
      </c>
      <c r="AE66">
        <v>802</v>
      </c>
      <c r="AG66" s="981" t="s">
        <v>340</v>
      </c>
      <c r="AH66" s="981">
        <f>AD54</f>
        <v>707</v>
      </c>
      <c r="AI66" s="981">
        <v>438</v>
      </c>
      <c r="AJ66" s="981"/>
      <c r="AK66" s="981">
        <v>35.29</v>
      </c>
      <c r="AL66" s="982">
        <v>12882</v>
      </c>
      <c r="AN66" s="994">
        <f t="shared" si="289"/>
        <v>8.1360691393258678E-3</v>
      </c>
      <c r="AO66" s="121">
        <f t="shared" si="290"/>
        <v>8.3350777369693048E-3</v>
      </c>
      <c r="AP66">
        <f t="shared" si="277"/>
        <v>9.1075739999999996</v>
      </c>
      <c r="AR66" s="121">
        <f>AP66/$AP$74</f>
        <v>6.8137061203621856E-3</v>
      </c>
      <c r="AV66" s="147">
        <f>SUM(AV54:AV64)</f>
        <v>0.15975159282468759</v>
      </c>
      <c r="AW66" s="31"/>
      <c r="BG66" s="31">
        <f>SUM(BG46:BG65)</f>
        <v>3569.5603751899321</v>
      </c>
      <c r="BH66" s="31">
        <f>SUM(BH46:BH65)</f>
        <v>260905.62464046211</v>
      </c>
      <c r="BI66" s="31">
        <f>SUM(BI46:BI65)</f>
        <v>9.6667814072411975</v>
      </c>
      <c r="BJ66" s="31">
        <f>SUM(BJ46:BJ65)</f>
        <v>6.9621668493929842</v>
      </c>
      <c r="BK66" s="655">
        <f>BH66+BI66*BI43+BJ66*BJ43</f>
        <v>263094.36627628218</v>
      </c>
      <c r="BM66" s="31">
        <f>SUM(BM46:BM64)</f>
        <v>271431443.87552524</v>
      </c>
      <c r="BN66" s="655">
        <f>SUM(BN46:BN65)</f>
        <v>271431.4438755252</v>
      </c>
      <c r="BP66" s="419">
        <f>SUM(BP46:BP64)</f>
        <v>240181.84062220942</v>
      </c>
      <c r="BQ66" s="419"/>
      <c r="BR66" s="419"/>
      <c r="BT66" s="419">
        <f>BT58/$BT$59</f>
        <v>0.23799246954101755</v>
      </c>
      <c r="BX66" s="947" t="s">
        <v>293</v>
      </c>
      <c r="BY66">
        <v>2</v>
      </c>
      <c r="BZ66">
        <f t="shared" si="249"/>
        <v>11.17487</v>
      </c>
      <c r="CA66" s="121">
        <f t="shared" si="250"/>
        <v>4.3621437691139216E-3</v>
      </c>
      <c r="CB66" s="932" t="s">
        <v>294</v>
      </c>
      <c r="CC66" s="932">
        <f>CC45+CC52</f>
        <v>526</v>
      </c>
      <c r="CD66" s="932">
        <v>357</v>
      </c>
      <c r="CE66" s="932"/>
      <c r="CF66" s="932">
        <v>67.66</v>
      </c>
      <c r="CG66" s="934">
        <v>24695</v>
      </c>
      <c r="CI66" s="121">
        <f t="shared" si="251"/>
        <v>2.8133457420065682E-3</v>
      </c>
      <c r="CL66" s="31">
        <f t="shared" si="253"/>
        <v>12.989570000000001</v>
      </c>
      <c r="CM66" s="121">
        <f t="shared" si="254"/>
        <v>4.9881419626684083E-3</v>
      </c>
      <c r="DB66" s="95">
        <f>DB44+DB47+DB48+DB51+DB52+DB54</f>
        <v>1327.8201101239213</v>
      </c>
      <c r="DC66" s="95">
        <f>DC44+DC47+DC48+DC51+DC52+DC54</f>
        <v>94244.653688136168</v>
      </c>
      <c r="DD66" s="95">
        <f>DD44+DD47+DD48+DD51+DD52+DD54</f>
        <v>9.7155409532111427</v>
      </c>
      <c r="DE66" s="95">
        <f>DE44+DE47+DE48+DE51+DE52+DE54</f>
        <v>0.80994510257425945</v>
      </c>
      <c r="DF66" s="95">
        <f>DF44+DF47+DF48+DF51+DF52+DF54</f>
        <v>94755.291821544655</v>
      </c>
    </row>
    <row r="67" spans="1:110" ht="17" thickBot="1" x14ac:dyDescent="1.2">
      <c r="A67" s="1161"/>
      <c r="B67" s="526" t="s">
        <v>310</v>
      </c>
      <c r="C67" s="342">
        <v>41143</v>
      </c>
      <c r="D67" s="343">
        <v>45166</v>
      </c>
      <c r="E67" s="344">
        <v>46849</v>
      </c>
      <c r="F67" s="345">
        <v>133158</v>
      </c>
      <c r="G67" s="382">
        <v>645461</v>
      </c>
      <c r="H67" s="1163"/>
      <c r="I67" s="362">
        <v>-5.2004608294930872E-2</v>
      </c>
      <c r="J67" s="363">
        <v>-1.0246334558668187E-2</v>
      </c>
      <c r="K67" s="364">
        <v>-4.1216376179041503E-2</v>
      </c>
      <c r="L67" s="365">
        <v>-4.1216376179041503E-2</v>
      </c>
      <c r="M67" s="510">
        <v>-3.69498967334152E-2</v>
      </c>
      <c r="AB67" s="992" t="s">
        <v>305</v>
      </c>
      <c r="AC67" s="986">
        <v>2443</v>
      </c>
      <c r="AD67">
        <v>935</v>
      </c>
      <c r="AE67">
        <v>1300</v>
      </c>
      <c r="AG67" s="1235" t="s">
        <v>122</v>
      </c>
      <c r="AH67" s="1236"/>
      <c r="AI67" s="1236"/>
      <c r="AJ67" s="1236"/>
      <c r="AK67" s="1236"/>
      <c r="AL67" s="1237"/>
      <c r="AP67">
        <f t="shared" si="277"/>
        <v>0</v>
      </c>
      <c r="AR67" s="121">
        <f t="shared" si="278"/>
        <v>0</v>
      </c>
      <c r="AV67" s="147">
        <f>SUM(AV46:AV64)</f>
        <v>1.0050055356545162</v>
      </c>
      <c r="BK67" s="419"/>
      <c r="BN67" s="419"/>
      <c r="BP67" s="419"/>
      <c r="BQ67" s="419"/>
      <c r="BR67" s="419"/>
      <c r="BX67" s="947" t="s">
        <v>308</v>
      </c>
      <c r="BY67">
        <v>1</v>
      </c>
      <c r="BZ67">
        <f t="shared" si="249"/>
        <v>61.155065999999998</v>
      </c>
      <c r="CA67" s="121">
        <f t="shared" si="250"/>
        <v>2.3872062055455733E-2</v>
      </c>
      <c r="CB67" s="930" t="s">
        <v>297</v>
      </c>
      <c r="CC67" s="930">
        <f>CC46+CC53</f>
        <v>1002</v>
      </c>
      <c r="CD67" s="930">
        <v>613</v>
      </c>
      <c r="CE67" s="930"/>
      <c r="CF67" s="930">
        <v>146.72999999999999</v>
      </c>
      <c r="CG67" s="931">
        <v>53555</v>
      </c>
      <c r="CI67" s="121">
        <f t="shared" si="251"/>
        <v>5.3592631815410291E-3</v>
      </c>
      <c r="CL67" s="31">
        <f t="shared" si="253"/>
        <v>53.662109999999998</v>
      </c>
      <c r="CM67" s="121">
        <f t="shared" si="254"/>
        <v>2.0606857863372536E-2</v>
      </c>
      <c r="DB67" s="95">
        <f>DB45+DB50+DB49+DB53+DB55</f>
        <v>1656.2507667643354</v>
      </c>
      <c r="DC67" s="95">
        <f>DC45+DC50+DC49+DC53+DC55</f>
        <v>122653.21011823948</v>
      </c>
      <c r="DD67" s="95">
        <f>DD45+DD50+DD49+DD53+DD55</f>
        <v>0.18976811639420121</v>
      </c>
      <c r="DE67" s="95">
        <f>DE45+DE50+DE49+DE53+DE55</f>
        <v>4.2497810023359719</v>
      </c>
      <c r="DF67" s="95">
        <f>DF45+DF50+DF49+DF53+DF55</f>
        <v>123819.05542174577</v>
      </c>
    </row>
    <row r="68" spans="1:110" ht="17" thickBot="1" x14ac:dyDescent="1.2">
      <c r="A68" s="1161"/>
      <c r="B68" s="526" t="s">
        <v>314</v>
      </c>
      <c r="C68" s="342">
        <v>39338</v>
      </c>
      <c r="D68" s="343">
        <v>45356</v>
      </c>
      <c r="E68" s="344">
        <v>47542</v>
      </c>
      <c r="F68" s="345">
        <v>132236</v>
      </c>
      <c r="G68" s="382">
        <v>777697</v>
      </c>
      <c r="H68" s="1163"/>
      <c r="I68" s="362">
        <v>-2.6335329934161676E-2</v>
      </c>
      <c r="J68" s="363">
        <v>1.0671768707482994E-2</v>
      </c>
      <c r="K68" s="364">
        <v>-5.8539920003616297E-3</v>
      </c>
      <c r="L68" s="365">
        <v>-5.8539920003616297E-3</v>
      </c>
      <c r="M68" s="510">
        <v>-3.1800490402125403E-2</v>
      </c>
      <c r="AB68" s="992" t="s">
        <v>308</v>
      </c>
      <c r="AC68" s="986">
        <v>3204</v>
      </c>
      <c r="AD68">
        <v>1462</v>
      </c>
      <c r="AE68">
        <v>2042</v>
      </c>
      <c r="AG68" s="978" t="s">
        <v>223</v>
      </c>
      <c r="AH68" s="978">
        <f t="shared" ref="AH68:AH73" si="291">SUMIF($AB$47:$AB$98,AG68,$AD$47:$AD$98)</f>
        <v>86897</v>
      </c>
      <c r="AI68" s="979">
        <v>52549</v>
      </c>
      <c r="AJ68" s="978"/>
      <c r="AK68" s="978">
        <v>35.08</v>
      </c>
      <c r="AL68" s="980">
        <v>12804</v>
      </c>
      <c r="AN68" s="994">
        <f t="shared" ref="AN68:AN73" si="292">AH68/$AH$75</f>
        <v>0.88318934851102759</v>
      </c>
      <c r="AO68" s="121">
        <f t="shared" ref="AO68:AO73" si="293">AI68/$AI$75</f>
        <v>0.86865030167782464</v>
      </c>
      <c r="AP68">
        <f t="shared" si="277"/>
        <v>1112.6291880000001</v>
      </c>
      <c r="AR68" s="121">
        <f t="shared" si="278"/>
        <v>0.8323982114193319</v>
      </c>
      <c r="BK68" s="419"/>
      <c r="BN68" s="419"/>
      <c r="BP68" s="419"/>
      <c r="BQ68" s="419"/>
      <c r="BR68" s="419"/>
      <c r="BX68" s="945" t="s">
        <v>767</v>
      </c>
      <c r="BY68" s="946">
        <v>624</v>
      </c>
      <c r="BZ68">
        <f t="shared" si="249"/>
        <v>239.84653</v>
      </c>
      <c r="CA68" s="121">
        <f t="shared" si="250"/>
        <v>9.3624806944787295E-2</v>
      </c>
      <c r="CB68" s="932" t="s">
        <v>301</v>
      </c>
      <c r="CC68" s="932">
        <f>CC47+CC54</f>
        <v>16345</v>
      </c>
      <c r="CD68" s="938">
        <v>8928</v>
      </c>
      <c r="CE68" s="932"/>
      <c r="CF68" s="932">
        <v>41.38</v>
      </c>
      <c r="CG68" s="934">
        <v>15105</v>
      </c>
      <c r="CI68" s="121">
        <f t="shared" si="251"/>
        <v>8.742231207813185E-2</v>
      </c>
      <c r="CL68" s="31">
        <f t="shared" si="253"/>
        <v>246.89122499999999</v>
      </c>
      <c r="CM68" s="121">
        <f t="shared" si="254"/>
        <v>9.4809025982931491E-2</v>
      </c>
      <c r="DB68" s="95">
        <f t="shared" ref="DB68:DF68" si="294">DB58</f>
        <v>4.2038075750873549</v>
      </c>
      <c r="DC68" s="95">
        <f t="shared" si="294"/>
        <v>298.68884101579755</v>
      </c>
      <c r="DD68" s="95">
        <f t="shared" si="294"/>
        <v>2.5312860236454435E-2</v>
      </c>
      <c r="DE68" s="95">
        <f t="shared" si="294"/>
        <v>5.0948436908889302E-3</v>
      </c>
      <c r="DF68" s="95">
        <f t="shared" si="294"/>
        <v>300.83405657845657</v>
      </c>
    </row>
    <row r="69" spans="1:110" ht="17" thickBot="1" x14ac:dyDescent="1.2">
      <c r="A69" s="1161"/>
      <c r="B69" s="526" t="s">
        <v>316</v>
      </c>
      <c r="C69" s="342">
        <v>36278</v>
      </c>
      <c r="D69" s="343">
        <v>43055</v>
      </c>
      <c r="E69" s="344">
        <v>46544</v>
      </c>
      <c r="F69" s="345">
        <v>125877</v>
      </c>
      <c r="G69" s="382">
        <v>903574</v>
      </c>
      <c r="H69" s="1163"/>
      <c r="I69" s="362">
        <v>-3.9959775590134437E-2</v>
      </c>
      <c r="J69" s="363">
        <v>7.5247548762042097E-3</v>
      </c>
      <c r="K69" s="364">
        <v>-2.7341290045943545E-2</v>
      </c>
      <c r="L69" s="365">
        <v>-2.7341290045943545E-2</v>
      </c>
      <c r="M69" s="510">
        <v>-3.1181731466766061E-2</v>
      </c>
      <c r="AB69" s="988" t="s">
        <v>766</v>
      </c>
      <c r="AC69" s="989">
        <v>3</v>
      </c>
      <c r="AG69" s="981" t="s">
        <v>294</v>
      </c>
      <c r="AH69" s="978">
        <f t="shared" si="291"/>
        <v>169</v>
      </c>
      <c r="AI69" s="981">
        <v>188</v>
      </c>
      <c r="AJ69" s="981"/>
      <c r="AK69" s="981">
        <v>58.2</v>
      </c>
      <c r="AL69" s="982">
        <v>21245</v>
      </c>
      <c r="AN69" s="994">
        <f t="shared" si="292"/>
        <v>1.7176542331537757E-3</v>
      </c>
      <c r="AO69" s="121">
        <f t="shared" si="293"/>
        <v>3.1076948508141169E-3</v>
      </c>
      <c r="AP69">
        <f t="shared" si="277"/>
        <v>3.5904050000000001</v>
      </c>
      <c r="AR69" s="121">
        <f t="shared" si="278"/>
        <v>2.6861120780439438E-3</v>
      </c>
      <c r="BG69" s="95">
        <f>BG46+BG50+BG51+BG54+BG55+BG57+BG49</f>
        <v>1282.5084922075964</v>
      </c>
      <c r="BH69" s="95">
        <f t="shared" ref="BH69:BK69" si="295">BH46+BH50+BH51+BH54+BH55+BH57+BH49</f>
        <v>92783.288101006445</v>
      </c>
      <c r="BI69" s="95">
        <f t="shared" si="295"/>
        <v>9.1087285857624707</v>
      </c>
      <c r="BJ69" s="95">
        <f t="shared" si="295"/>
        <v>0.63711227315253371</v>
      </c>
      <c r="BK69" s="95">
        <f t="shared" si="295"/>
        <v>93222.889402641857</v>
      </c>
      <c r="BM69">
        <v>92639.748975766663</v>
      </c>
      <c r="BN69" s="1060">
        <f>BM69-BK69</f>
        <v>-583.14042687519395</v>
      </c>
      <c r="BP69" s="419"/>
      <c r="BQ69" s="419"/>
      <c r="BR69" s="419"/>
      <c r="BX69" s="947" t="s">
        <v>293</v>
      </c>
      <c r="BY69">
        <v>624</v>
      </c>
      <c r="BZ69">
        <f t="shared" si="249"/>
        <v>41.334297999999997</v>
      </c>
      <c r="CA69" s="121">
        <f t="shared" si="250"/>
        <v>1.6134966265504477E-2</v>
      </c>
      <c r="CB69" s="930" t="s">
        <v>305</v>
      </c>
      <c r="CC69" s="930">
        <f>CC55+CC48</f>
        <v>2683</v>
      </c>
      <c r="CD69" s="933">
        <v>1714</v>
      </c>
      <c r="CE69" s="930"/>
      <c r="CF69" s="930">
        <v>46.17</v>
      </c>
      <c r="CG69" s="931">
        <v>16851</v>
      </c>
      <c r="CI69" s="121">
        <f t="shared" si="251"/>
        <v>1.4350202710653273E-2</v>
      </c>
      <c r="CL69" s="31">
        <f t="shared" si="253"/>
        <v>45.211233</v>
      </c>
      <c r="CM69" s="121">
        <f t="shared" si="254"/>
        <v>1.7361625404942481E-2</v>
      </c>
      <c r="DB69" s="95">
        <f t="shared" ref="DB69:DF69" si="296">DB59</f>
        <v>142.50690194744683</v>
      </c>
      <c r="DC69" s="95">
        <f t="shared" si="296"/>
        <v>10553.310729634602</v>
      </c>
      <c r="DD69" s="95">
        <f t="shared" si="296"/>
        <v>1.438512030091357E-2</v>
      </c>
      <c r="DE69" s="95">
        <f t="shared" si="296"/>
        <v>0.29173416369453431</v>
      </c>
      <c r="DF69" s="95">
        <f t="shared" si="296"/>
        <v>10633.382832908177</v>
      </c>
    </row>
    <row r="70" spans="1:110" ht="17" thickBot="1" x14ac:dyDescent="1.2">
      <c r="A70" s="1161"/>
      <c r="B70" s="526" t="s">
        <v>319</v>
      </c>
      <c r="C70" s="342">
        <v>38943</v>
      </c>
      <c r="D70" s="343">
        <v>43639.509729323123</v>
      </c>
      <c r="E70" s="344">
        <v>46669</v>
      </c>
      <c r="F70" s="345">
        <v>129251.50972932312</v>
      </c>
      <c r="G70" s="382">
        <v>1032825.5097293231</v>
      </c>
      <c r="H70" s="1163"/>
      <c r="I70" s="362">
        <v>-2.2882950696273992E-2</v>
      </c>
      <c r="J70" s="363">
        <v>-4.4977511244377811E-4</v>
      </c>
      <c r="K70" s="364">
        <v>-1.7502588673714237E-2</v>
      </c>
      <c r="L70" s="365">
        <v>-1.7502588673714237E-2</v>
      </c>
      <c r="M70" s="510">
        <v>-2.9490761825388789E-2</v>
      </c>
      <c r="AB70" s="992" t="s">
        <v>223</v>
      </c>
      <c r="AC70" s="986">
        <v>2</v>
      </c>
      <c r="AG70" s="981" t="s">
        <v>297</v>
      </c>
      <c r="AH70" s="978">
        <f t="shared" si="291"/>
        <v>573</v>
      </c>
      <c r="AI70" s="981">
        <v>470</v>
      </c>
      <c r="AJ70" s="981"/>
      <c r="AK70" s="981">
        <v>167.21</v>
      </c>
      <c r="AL70" s="982">
        <v>61033</v>
      </c>
      <c r="AN70" s="994">
        <f t="shared" si="292"/>
        <v>5.8237625774977134E-3</v>
      </c>
      <c r="AO70" s="121">
        <f t="shared" si="293"/>
        <v>7.769237127035292E-3</v>
      </c>
      <c r="AP70">
        <f t="shared" si="277"/>
        <v>34.971908999999997</v>
      </c>
      <c r="AR70" s="121">
        <f t="shared" si="278"/>
        <v>2.6163752322413126E-2</v>
      </c>
      <c r="BG70" s="95">
        <f>BG47+BG53+BG52+BG56</f>
        <v>1625.0318441103354</v>
      </c>
      <c r="BH70" s="95">
        <f t="shared" ref="BH70:BK70" si="297">BH47+BH53+BH52+BH56</f>
        <v>119457.60769681203</v>
      </c>
      <c r="BI70" s="95">
        <f t="shared" si="297"/>
        <v>8.78542983174289E-2</v>
      </c>
      <c r="BJ70" s="95">
        <f t="shared" si="297"/>
        <v>4.1367273155819086</v>
      </c>
      <c r="BK70" s="51">
        <f t="shared" si="297"/>
        <v>120556.30035579413</v>
      </c>
      <c r="BM70">
        <v>120589.55231205575</v>
      </c>
      <c r="BN70" s="1060">
        <f t="shared" ref="BN70:BN74" si="298">BM70-BK70</f>
        <v>33.251956261621672</v>
      </c>
      <c r="BP70" s="419"/>
      <c r="BQ70" s="419"/>
      <c r="BR70" s="419"/>
      <c r="BS70" s="147"/>
      <c r="BT70" s="147"/>
      <c r="BU70" s="147"/>
      <c r="BV70" s="147"/>
      <c r="BX70" s="945" t="s">
        <v>768</v>
      </c>
      <c r="BY70" s="946">
        <v>719</v>
      </c>
      <c r="BZ70">
        <f t="shared" si="249"/>
        <v>106.148493</v>
      </c>
      <c r="CA70" s="121">
        <f t="shared" si="250"/>
        <v>4.1435380218363412E-2</v>
      </c>
      <c r="CB70" s="940" t="s">
        <v>308</v>
      </c>
      <c r="CC70" s="940">
        <f>CC49+CC56</f>
        <v>3207</v>
      </c>
      <c r="CD70" s="941">
        <v>1969</v>
      </c>
      <c r="CE70" s="940"/>
      <c r="CF70" s="940">
        <v>90.34</v>
      </c>
      <c r="CG70" s="942">
        <v>32973</v>
      </c>
      <c r="CI70" s="121">
        <f t="shared" si="251"/>
        <v>1.7152851320560956E-2</v>
      </c>
      <c r="CL70" s="31">
        <f t="shared" si="253"/>
        <v>105.744411</v>
      </c>
      <c r="CM70" s="121">
        <f t="shared" si="254"/>
        <v>4.0607051182352825E-2</v>
      </c>
      <c r="DB70" s="95">
        <f t="shared" ref="DB70:DF70" si="299">DB60+DB56</f>
        <v>0</v>
      </c>
      <c r="DC70" s="95">
        <f t="shared" si="299"/>
        <v>0</v>
      </c>
      <c r="DD70" s="95">
        <f t="shared" si="299"/>
        <v>0</v>
      </c>
      <c r="DE70" s="95">
        <f t="shared" si="299"/>
        <v>0</v>
      </c>
      <c r="DF70" s="95">
        <f t="shared" si="299"/>
        <v>0</v>
      </c>
    </row>
    <row r="71" spans="1:110" ht="17" thickBot="1" x14ac:dyDescent="1.2">
      <c r="A71" s="1161"/>
      <c r="B71" s="526" t="s">
        <v>321</v>
      </c>
      <c r="C71" s="342">
        <v>42344</v>
      </c>
      <c r="D71" s="343">
        <v>45323.090825744075</v>
      </c>
      <c r="E71" s="344">
        <v>46364</v>
      </c>
      <c r="F71" s="345">
        <v>134031.09082574409</v>
      </c>
      <c r="G71" s="382">
        <v>1166856.6005550672</v>
      </c>
      <c r="H71" s="1163"/>
      <c r="I71" s="362">
        <v>-4.6155925483747438E-2</v>
      </c>
      <c r="J71" s="363">
        <v>-2.6539010665994792E-2</v>
      </c>
      <c r="K71" s="364">
        <v>-3.5775295489740677E-2</v>
      </c>
      <c r="L71" s="365">
        <v>-3.5775295489740677E-2</v>
      </c>
      <c r="M71" s="510">
        <v>-3.0216796771965093E-2</v>
      </c>
      <c r="AB71" s="992" t="s">
        <v>308</v>
      </c>
      <c r="AC71" s="986">
        <v>1</v>
      </c>
      <c r="AG71" s="981" t="s">
        <v>301</v>
      </c>
      <c r="AH71" s="978">
        <f t="shared" si="291"/>
        <v>8291</v>
      </c>
      <c r="AI71" s="983">
        <v>5072</v>
      </c>
      <c r="AJ71" s="981"/>
      <c r="AK71" s="981">
        <v>40.200000000000003</v>
      </c>
      <c r="AL71" s="982">
        <v>14674</v>
      </c>
      <c r="AN71" s="994">
        <f t="shared" si="292"/>
        <v>8.4266693769692036E-2</v>
      </c>
      <c r="AO71" s="121">
        <f t="shared" si="293"/>
        <v>8.3841639804942553E-2</v>
      </c>
      <c r="AP71">
        <f t="shared" si="277"/>
        <v>121.66213399999999</v>
      </c>
      <c r="AR71" s="121">
        <f t="shared" si="278"/>
        <v>9.1019850846353195E-2</v>
      </c>
      <c r="BG71" s="95">
        <f>BG61</f>
        <v>0.85288487069688568</v>
      </c>
      <c r="BH71" s="95">
        <f t="shared" ref="BH71:BK71" si="300">BH61</f>
        <v>61.714205754850781</v>
      </c>
      <c r="BI71" s="95">
        <f t="shared" si="300"/>
        <v>4.7342457719072124E-3</v>
      </c>
      <c r="BJ71" s="95">
        <f t="shared" si="300"/>
        <v>7.1377698613718976E-4</v>
      </c>
      <c r="BK71" s="95">
        <f t="shared" si="300"/>
        <v>62.035915537790537</v>
      </c>
      <c r="BM71">
        <v>62.050147396069065</v>
      </c>
      <c r="BN71" s="1060">
        <f t="shared" si="298"/>
        <v>1.4231858278527909E-2</v>
      </c>
      <c r="BP71" s="419"/>
      <c r="BQ71" s="419"/>
      <c r="BR71" s="419"/>
      <c r="BX71" s="947" t="s">
        <v>293</v>
      </c>
      <c r="BY71">
        <v>718</v>
      </c>
      <c r="CC71" s="935">
        <f>SUM(CC65:CC70)</f>
        <v>186966</v>
      </c>
      <c r="CD71" s="32">
        <f>SUM(CD65:CD70)</f>
        <v>100481</v>
      </c>
      <c r="CI71" s="121">
        <f t="shared" si="251"/>
        <v>1</v>
      </c>
      <c r="CL71" s="31">
        <f>SUM(CL65:CL70)</f>
        <v>2604.0898790000006</v>
      </c>
      <c r="CM71" s="147">
        <f>SUM(CM44:CM63)</f>
        <v>0.99806026664412184</v>
      </c>
      <c r="DB71" s="95">
        <f t="shared" ref="DB71:DF71" si="301">DB61+DB57</f>
        <v>532.25357288346333</v>
      </c>
      <c r="DC71" s="95">
        <f t="shared" si="301"/>
        <v>39415.896808063473</v>
      </c>
      <c r="DD71" s="95">
        <f t="shared" si="301"/>
        <v>0.76452801713787966</v>
      </c>
      <c r="DE71" s="95">
        <f t="shared" si="301"/>
        <v>1.6413493727218635</v>
      </c>
      <c r="DF71" s="95">
        <f t="shared" si="301"/>
        <v>39886.768121727247</v>
      </c>
    </row>
    <row r="72" spans="1:110" ht="17" thickBot="1" x14ac:dyDescent="1.2">
      <c r="A72" s="1161"/>
      <c r="B72" s="526" t="s">
        <v>323</v>
      </c>
      <c r="C72" s="342">
        <v>41415</v>
      </c>
      <c r="D72" s="343">
        <v>44791.584372036959</v>
      </c>
      <c r="E72" s="344">
        <v>44499</v>
      </c>
      <c r="F72" s="345">
        <v>130705.58437203696</v>
      </c>
      <c r="G72" s="382">
        <v>1297562.184927104</v>
      </c>
      <c r="H72" s="1163"/>
      <c r="I72" s="362">
        <v>-5.1094054301752775E-2</v>
      </c>
      <c r="J72" s="363">
        <v>-3.4456571267385598E-2</v>
      </c>
      <c r="K72" s="364">
        <v>-2.5021748679419975E-2</v>
      </c>
      <c r="L72" s="365">
        <v>-2.5021748679419975E-2</v>
      </c>
      <c r="M72" s="510">
        <v>-2.9695999825910535E-2</v>
      </c>
      <c r="AB72" s="988" t="s">
        <v>767</v>
      </c>
      <c r="AC72" s="989">
        <v>624</v>
      </c>
      <c r="AG72" s="981" t="s">
        <v>305</v>
      </c>
      <c r="AH72" s="978">
        <f t="shared" si="291"/>
        <v>996</v>
      </c>
      <c r="AI72" s="981">
        <v>930</v>
      </c>
      <c r="AJ72" s="981"/>
      <c r="AK72" s="981">
        <v>42.21</v>
      </c>
      <c r="AL72" s="982">
        <v>15406</v>
      </c>
      <c r="AN72" s="994">
        <f t="shared" si="292"/>
        <v>1.0122979977640004E-2</v>
      </c>
      <c r="AO72" s="121">
        <f t="shared" si="293"/>
        <v>1.537317133647409E-2</v>
      </c>
      <c r="AP72">
        <f t="shared" si="277"/>
        <v>15.344376</v>
      </c>
      <c r="AR72" s="121">
        <f t="shared" si="278"/>
        <v>1.1479683685725599E-2</v>
      </c>
      <c r="BG72" s="95">
        <f>BG60</f>
        <v>101.56201313464825</v>
      </c>
      <c r="BH72" s="95">
        <f t="shared" ref="BH72:BK72" si="302">BH60</f>
        <v>7465.9183854820667</v>
      </c>
      <c r="BI72" s="95">
        <f t="shared" si="302"/>
        <v>4.3572543890075446E-3</v>
      </c>
      <c r="BJ72" s="95">
        <f t="shared" si="302"/>
        <v>0.20290055939090521</v>
      </c>
      <c r="BK72" s="95">
        <f t="shared" si="302"/>
        <v>7519.8090368435487</v>
      </c>
      <c r="BM72">
        <v>7521.4400843765761</v>
      </c>
      <c r="BN72" s="1060">
        <f t="shared" si="298"/>
        <v>1.631047533027413</v>
      </c>
      <c r="BP72" s="419"/>
      <c r="BQ72" s="419"/>
      <c r="BR72" s="419"/>
      <c r="BX72" s="947" t="s">
        <v>296</v>
      </c>
      <c r="BY72">
        <v>1</v>
      </c>
      <c r="CI72" s="121"/>
    </row>
    <row r="73" spans="1:110" ht="17" thickBot="1" x14ac:dyDescent="1.2">
      <c r="A73" s="1161"/>
      <c r="B73" s="526" t="s">
        <v>326</v>
      </c>
      <c r="C73" s="342">
        <v>41585</v>
      </c>
      <c r="D73" s="343">
        <v>44265</v>
      </c>
      <c r="E73" s="344">
        <v>44559</v>
      </c>
      <c r="F73" s="345">
        <v>130409</v>
      </c>
      <c r="G73" s="382">
        <v>1427971.184927104</v>
      </c>
      <c r="H73" s="1163"/>
      <c r="I73" s="362">
        <v>-2.4055386059610419E-2</v>
      </c>
      <c r="J73" s="363">
        <v>1.3258426966292136E-3</v>
      </c>
      <c r="K73" s="364">
        <v>1.7744933859791256E-3</v>
      </c>
      <c r="L73" s="365">
        <v>1.7744933859791256E-3</v>
      </c>
      <c r="M73" s="510">
        <v>-2.6904244981734826E-2</v>
      </c>
      <c r="AB73" s="992" t="s">
        <v>223</v>
      </c>
      <c r="AC73" s="986">
        <v>624</v>
      </c>
      <c r="AG73" s="984" t="s">
        <v>308</v>
      </c>
      <c r="AH73" s="978">
        <f t="shared" si="291"/>
        <v>1464</v>
      </c>
      <c r="AI73" s="985">
        <v>1286</v>
      </c>
      <c r="AJ73" s="984"/>
      <c r="AK73" s="984">
        <v>90.68</v>
      </c>
      <c r="AL73" s="982">
        <v>33099</v>
      </c>
      <c r="AN73" s="994">
        <f t="shared" si="292"/>
        <v>1.4879560930988921E-2</v>
      </c>
      <c r="AO73" s="121">
        <f t="shared" si="293"/>
        <v>2.125795520290933E-2</v>
      </c>
      <c r="AP73">
        <f t="shared" si="277"/>
        <v>48.456935999999999</v>
      </c>
      <c r="AR73" s="121">
        <f t="shared" si="278"/>
        <v>3.625238964813228E-2</v>
      </c>
      <c r="BG73" s="95">
        <f>BG63+BG59</f>
        <v>0</v>
      </c>
      <c r="BH73" s="95">
        <f t="shared" ref="BH73:BK73" si="303">BH63+BH59</f>
        <v>0</v>
      </c>
      <c r="BI73" s="95">
        <f t="shared" si="303"/>
        <v>0</v>
      </c>
      <c r="BJ73" s="95">
        <f t="shared" si="303"/>
        <v>0</v>
      </c>
      <c r="BK73" s="95">
        <f t="shared" si="303"/>
        <v>0</v>
      </c>
      <c r="BM73">
        <v>0</v>
      </c>
      <c r="BN73" s="1060">
        <f t="shared" si="298"/>
        <v>0</v>
      </c>
      <c r="BP73" s="419"/>
      <c r="BQ73" s="419"/>
      <c r="BR73" s="419"/>
      <c r="BX73" s="945" t="s">
        <v>769</v>
      </c>
      <c r="BY73" s="946">
        <v>1</v>
      </c>
      <c r="BZ73">
        <f>SUM(BZ65:BZ70)</f>
        <v>2549.310469</v>
      </c>
      <c r="CI73" s="121"/>
    </row>
    <row r="74" spans="1:110" ht="17" thickBot="1" x14ac:dyDescent="1.2">
      <c r="A74" s="1162"/>
      <c r="B74" s="349" t="s">
        <v>327</v>
      </c>
      <c r="C74" s="350">
        <v>40810</v>
      </c>
      <c r="D74" s="351">
        <v>45965</v>
      </c>
      <c r="E74" s="352">
        <v>43664</v>
      </c>
      <c r="F74" s="386">
        <v>130439</v>
      </c>
      <c r="G74" s="382">
        <v>1558410.184927104</v>
      </c>
      <c r="H74" s="1163"/>
      <c r="I74" s="516">
        <v>-6.838480445839722E-3</v>
      </c>
      <c r="J74" s="517">
        <v>2.2456386839948484E-2</v>
      </c>
      <c r="K74" s="518">
        <v>1.5302826274781411E-2</v>
      </c>
      <c r="L74" s="369">
        <v>1.5302826274781411E-2</v>
      </c>
      <c r="M74" s="519">
        <v>-2.3506548029273211E-2</v>
      </c>
      <c r="AB74" s="988" t="s">
        <v>768</v>
      </c>
      <c r="AC74" s="989">
        <v>719</v>
      </c>
      <c r="AP74">
        <f>SUM(AP68:AP73)</f>
        <v>1336.6549480000001</v>
      </c>
      <c r="BG74" s="95">
        <f>BG62+BG58</f>
        <v>559.60514086665421</v>
      </c>
      <c r="BH74" s="95">
        <f t="shared" ref="BH74:BK74" si="304">BH62+BH58</f>
        <v>41137.096251406707</v>
      </c>
      <c r="BI74" s="95">
        <f t="shared" si="304"/>
        <v>0.46110702300038364</v>
      </c>
      <c r="BJ74" s="95">
        <f t="shared" si="304"/>
        <v>1.9847129242815007</v>
      </c>
      <c r="BK74" s="93">
        <f t="shared" si="304"/>
        <v>41675.956172985316</v>
      </c>
      <c r="BM74">
        <v>41692.66386902098</v>
      </c>
      <c r="BN74" s="1060">
        <f t="shared" si="298"/>
        <v>16.707696035664412</v>
      </c>
      <c r="BP74" s="419"/>
      <c r="BQ74" s="419"/>
      <c r="BR74" s="419"/>
      <c r="BX74" s="947" t="s">
        <v>293</v>
      </c>
      <c r="BY74">
        <v>1</v>
      </c>
      <c r="BZ74">
        <f>SUM(BZ44:BZ63)</f>
        <v>2561.7839739999999</v>
      </c>
      <c r="CI74" s="121"/>
    </row>
    <row r="75" spans="1:110" ht="17" thickBot="1" x14ac:dyDescent="1.2">
      <c r="A75" s="514" t="s">
        <v>329</v>
      </c>
      <c r="B75" s="370"/>
      <c r="C75" s="356">
        <v>40513.583333333336</v>
      </c>
      <c r="D75" s="356">
        <v>44141.43207725868</v>
      </c>
      <c r="E75" s="356">
        <v>45212.5</v>
      </c>
      <c r="F75" s="357">
        <v>129867.51541059201</v>
      </c>
      <c r="G75" s="357"/>
      <c r="H75" s="1163"/>
      <c r="I75" s="371">
        <v>-3.8560478160581502E-2</v>
      </c>
      <c r="J75" s="371">
        <v>-2.9885171297642343E-2</v>
      </c>
      <c r="K75" s="372">
        <v>-3.1206037336698467E-3</v>
      </c>
      <c r="L75" s="373"/>
      <c r="M75" s="372">
        <v>-2.3506548029273211E-2</v>
      </c>
      <c r="AB75" s="992" t="s">
        <v>223</v>
      </c>
      <c r="AC75" s="986">
        <v>718</v>
      </c>
      <c r="AH75" s="32">
        <f>SUM(AH68:AH73)</f>
        <v>98390</v>
      </c>
      <c r="AI75" s="32">
        <f>SUM(AI68:AI73)</f>
        <v>60495</v>
      </c>
      <c r="AP75">
        <f>SUM(AP47:AP66)</f>
        <v>1343.3456219999998</v>
      </c>
      <c r="AR75" s="147">
        <f>SUM(AR47:AR66)</f>
        <v>1.0050055356545164</v>
      </c>
      <c r="BK75" s="51">
        <f>SUM(BK69:BK74)</f>
        <v>263036.99088380265</v>
      </c>
      <c r="BM75">
        <f>SUM(BM69:BM74)</f>
        <v>262505.45538861607</v>
      </c>
      <c r="BN75" s="51">
        <f>SUM(BN69:BN74)</f>
        <v>-531.53549518660191</v>
      </c>
      <c r="BX75" s="945" t="s">
        <v>703</v>
      </c>
      <c r="BY75" s="946">
        <v>363</v>
      </c>
      <c r="CI75" s="121"/>
    </row>
    <row r="76" spans="1:110" ht="17" thickBot="1" x14ac:dyDescent="1.2">
      <c r="A76" s="1161">
        <v>2010</v>
      </c>
      <c r="B76" s="506" t="s">
        <v>295</v>
      </c>
      <c r="C76" s="334">
        <v>38769</v>
      </c>
      <c r="D76" s="335">
        <v>40948</v>
      </c>
      <c r="E76" s="336">
        <v>40896</v>
      </c>
      <c r="F76" s="337">
        <v>120613</v>
      </c>
      <c r="G76" s="381">
        <v>120613</v>
      </c>
      <c r="H76" s="1158" t="s">
        <v>345</v>
      </c>
      <c r="I76" s="527">
        <v>-3.2009188284936707E-2</v>
      </c>
      <c r="J76" s="523">
        <v>-2.674916706330319E-2</v>
      </c>
      <c r="K76" s="524">
        <v>-2.7518423556351035E-2</v>
      </c>
      <c r="L76" s="361">
        <v>-2.7518423556351035E-2</v>
      </c>
      <c r="M76" s="525">
        <v>-2.7518423556351035E-2</v>
      </c>
      <c r="AB76" s="992" t="s">
        <v>301</v>
      </c>
      <c r="AC76" s="986">
        <v>1</v>
      </c>
      <c r="AG76" s="927"/>
      <c r="AH76" s="971"/>
      <c r="AI76" s="928"/>
      <c r="AJ76" s="971"/>
      <c r="AK76" s="927"/>
      <c r="AL76" s="929"/>
      <c r="BX76" s="947" t="s">
        <v>293</v>
      </c>
      <c r="BY76">
        <v>168</v>
      </c>
      <c r="CI76" s="121"/>
    </row>
    <row r="77" spans="1:110" ht="17" thickBot="1" x14ac:dyDescent="1.2">
      <c r="A77" s="1161"/>
      <c r="B77" s="341" t="s">
        <v>299</v>
      </c>
      <c r="C77" s="342">
        <v>40353</v>
      </c>
      <c r="D77" s="343">
        <v>42290</v>
      </c>
      <c r="E77" s="344">
        <v>42919</v>
      </c>
      <c r="F77" s="345">
        <v>125562</v>
      </c>
      <c r="G77" s="382">
        <v>246175</v>
      </c>
      <c r="H77" s="1159"/>
      <c r="I77" s="528">
        <v>-2.688820295167358E-2</v>
      </c>
      <c r="J77" s="363">
        <v>-2.0851869595966511E-2</v>
      </c>
      <c r="K77" s="364">
        <v>-2.2688885948457749E-2</v>
      </c>
      <c r="L77" s="365">
        <v>-2.2688885948457749E-2</v>
      </c>
      <c r="M77" s="510">
        <v>-2.5061088383108276E-2</v>
      </c>
      <c r="AB77" s="988" t="s">
        <v>769</v>
      </c>
      <c r="AC77" s="989">
        <v>1</v>
      </c>
      <c r="AG77" s="930"/>
      <c r="AH77" s="972"/>
      <c r="AI77" s="930"/>
      <c r="AJ77" s="972"/>
      <c r="AK77" s="930"/>
      <c r="AL77" s="931"/>
      <c r="BX77" s="947" t="s">
        <v>297</v>
      </c>
      <c r="BY77">
        <v>6</v>
      </c>
      <c r="CI77" s="121"/>
    </row>
    <row r="78" spans="1:110" ht="17" thickBot="1" x14ac:dyDescent="1.2">
      <c r="A78" s="1161"/>
      <c r="B78" s="341" t="s">
        <v>303</v>
      </c>
      <c r="C78" s="342">
        <v>39577.55385956086</v>
      </c>
      <c r="D78" s="343">
        <v>44527</v>
      </c>
      <c r="E78" s="344">
        <v>44702</v>
      </c>
      <c r="F78" s="345">
        <v>128806.55385956087</v>
      </c>
      <c r="G78" s="382">
        <v>374981.55385956087</v>
      </c>
      <c r="H78" s="1159"/>
      <c r="I78" s="528">
        <v>-7.2016838388687665E-2</v>
      </c>
      <c r="J78" s="363">
        <v>-1.1170836374897693E-2</v>
      </c>
      <c r="K78" s="364">
        <v>-2.2934431771517327E-2</v>
      </c>
      <c r="L78" s="365">
        <v>-2.2934431771517327E-2</v>
      </c>
      <c r="M78" s="510">
        <v>-2.4331624243661421E-2</v>
      </c>
      <c r="AB78" s="992" t="s">
        <v>223</v>
      </c>
      <c r="AC78" s="986">
        <v>1</v>
      </c>
      <c r="AG78" s="932"/>
      <c r="AH78" s="973"/>
      <c r="AI78" s="932"/>
      <c r="AJ78" s="973"/>
      <c r="AK78" s="932"/>
      <c r="AL78" s="932"/>
      <c r="BO78">
        <v>262414.32220623718</v>
      </c>
      <c r="BX78" s="947" t="s">
        <v>296</v>
      </c>
      <c r="BY78">
        <v>167</v>
      </c>
      <c r="CI78" s="121"/>
    </row>
    <row r="79" spans="1:110" ht="17" thickBot="1" x14ac:dyDescent="1.2">
      <c r="A79" s="1161"/>
      <c r="B79" s="341" t="s">
        <v>306</v>
      </c>
      <c r="C79" s="342">
        <v>38546</v>
      </c>
      <c r="D79" s="343">
        <v>41213</v>
      </c>
      <c r="E79" s="344">
        <v>42389</v>
      </c>
      <c r="F79" s="345">
        <v>122148</v>
      </c>
      <c r="G79" s="382">
        <v>497129.55385956087</v>
      </c>
      <c r="H79" s="1159"/>
      <c r="I79" s="528">
        <v>-3.968708737138444E-2</v>
      </c>
      <c r="J79" s="363">
        <v>-5.3816964285714287E-2</v>
      </c>
      <c r="K79" s="364">
        <v>-4.5495037899507706E-2</v>
      </c>
      <c r="L79" s="365">
        <v>-4.5495037899507706E-2</v>
      </c>
      <c r="M79" s="510">
        <v>-2.9618109088643152E-2</v>
      </c>
      <c r="AB79" s="988" t="s">
        <v>703</v>
      </c>
      <c r="AC79" s="989">
        <v>363</v>
      </c>
      <c r="AG79" s="930"/>
      <c r="AH79" s="972"/>
      <c r="AI79" s="933"/>
      <c r="AJ79" s="972"/>
      <c r="AK79" s="930"/>
      <c r="AL79" s="931"/>
      <c r="BX79" s="947" t="s">
        <v>305</v>
      </c>
      <c r="BY79">
        <v>4</v>
      </c>
      <c r="CI79" s="121"/>
    </row>
    <row r="80" spans="1:110" ht="17" thickBot="1" x14ac:dyDescent="1.2">
      <c r="A80" s="1161"/>
      <c r="B80" s="341" t="s">
        <v>310</v>
      </c>
      <c r="C80" s="342">
        <v>42047</v>
      </c>
      <c r="D80" s="343">
        <v>46617</v>
      </c>
      <c r="E80" s="344">
        <v>48759</v>
      </c>
      <c r="F80" s="345">
        <v>137423</v>
      </c>
      <c r="G80" s="382">
        <v>634552.55385956087</v>
      </c>
      <c r="H80" s="1159"/>
      <c r="I80" s="528">
        <v>2.1972145930048852E-2</v>
      </c>
      <c r="J80" s="363">
        <v>4.0769280027321823E-2</v>
      </c>
      <c r="K80" s="364">
        <v>3.202961894891776E-2</v>
      </c>
      <c r="L80" s="365">
        <v>3.202961894891776E-2</v>
      </c>
      <c r="M80" s="510">
        <v>-1.6900240510951292E-2</v>
      </c>
      <c r="AB80" s="992" t="s">
        <v>223</v>
      </c>
      <c r="AC80" s="986">
        <v>168</v>
      </c>
      <c r="AG80" s="932"/>
      <c r="AH80" s="973"/>
      <c r="AI80" s="932"/>
      <c r="AJ80" s="973"/>
      <c r="AK80" s="932"/>
      <c r="AL80" s="934"/>
      <c r="BX80" s="947" t="s">
        <v>308</v>
      </c>
      <c r="BY80">
        <v>18</v>
      </c>
      <c r="CI80" s="121"/>
    </row>
    <row r="81" spans="1:87" ht="17" thickBot="1" x14ac:dyDescent="1.2">
      <c r="A81" s="1161"/>
      <c r="B81" s="341" t="s">
        <v>314</v>
      </c>
      <c r="C81" s="342">
        <v>38698</v>
      </c>
      <c r="D81" s="343">
        <v>44896</v>
      </c>
      <c r="E81" s="344">
        <v>47264</v>
      </c>
      <c r="F81" s="345">
        <v>130858</v>
      </c>
      <c r="G81" s="382">
        <v>765410.55385956087</v>
      </c>
      <c r="H81" s="1159"/>
      <c r="I81" s="528">
        <v>-1.6269256189943567E-2</v>
      </c>
      <c r="J81" s="363">
        <v>-5.8474611922089944E-3</v>
      </c>
      <c r="K81" s="364">
        <v>-1.042076287848992E-2</v>
      </c>
      <c r="L81" s="365">
        <v>-1.042076287848992E-2</v>
      </c>
      <c r="M81" s="510">
        <v>-1.5798500110504654E-2</v>
      </c>
      <c r="AB81" s="992" t="s">
        <v>297</v>
      </c>
      <c r="AC81" s="986">
        <v>6</v>
      </c>
      <c r="AD81">
        <v>4</v>
      </c>
      <c r="AE81">
        <v>6</v>
      </c>
      <c r="AG81" s="930"/>
      <c r="AH81" s="972"/>
      <c r="AI81" s="930"/>
      <c r="AJ81" s="972"/>
      <c r="AK81" s="932"/>
      <c r="AL81" s="932"/>
      <c r="BX81" s="945" t="s">
        <v>770</v>
      </c>
      <c r="BY81" s="946">
        <v>1</v>
      </c>
      <c r="CI81" s="121"/>
    </row>
    <row r="82" spans="1:87" ht="17" thickBot="1" x14ac:dyDescent="1.2">
      <c r="A82" s="1161"/>
      <c r="B82" s="341" t="s">
        <v>316</v>
      </c>
      <c r="C82" s="342">
        <v>32469.834451891707</v>
      </c>
      <c r="D82" s="343">
        <v>40894</v>
      </c>
      <c r="E82" s="344">
        <v>45038</v>
      </c>
      <c r="F82" s="345">
        <v>118401.83445189171</v>
      </c>
      <c r="G82" s="382">
        <v>883812.38831145258</v>
      </c>
      <c r="H82" s="1159"/>
      <c r="I82" s="528">
        <v>-0.1049717610702986</v>
      </c>
      <c r="J82" s="363">
        <v>-3.2356479889996563E-2</v>
      </c>
      <c r="K82" s="364">
        <v>-5.9384681459744737E-2</v>
      </c>
      <c r="L82" s="365">
        <v>-5.9384681459744737E-2</v>
      </c>
      <c r="M82" s="510">
        <v>-2.1870496150340091E-2</v>
      </c>
      <c r="AB82" s="992" t="s">
        <v>301</v>
      </c>
      <c r="AC82" s="986">
        <v>167</v>
      </c>
      <c r="AD82">
        <v>113</v>
      </c>
      <c r="AE82">
        <v>125</v>
      </c>
      <c r="AG82" s="1145"/>
      <c r="AH82" s="1146"/>
      <c r="AI82" s="1146"/>
      <c r="AJ82" s="1146"/>
      <c r="AK82" s="1146"/>
      <c r="AL82" s="1147"/>
      <c r="BX82" s="947" t="s">
        <v>293</v>
      </c>
      <c r="BY82">
        <v>1</v>
      </c>
      <c r="CI82" s="121"/>
    </row>
    <row r="83" spans="1:87" ht="17" thickBot="1" x14ac:dyDescent="1.2">
      <c r="A83" s="1161"/>
      <c r="B83" s="341" t="s">
        <v>319</v>
      </c>
      <c r="C83" s="342">
        <v>39203</v>
      </c>
      <c r="D83" s="343">
        <v>44069</v>
      </c>
      <c r="E83" s="344">
        <v>46872</v>
      </c>
      <c r="F83" s="345">
        <v>130144</v>
      </c>
      <c r="G83" s="382">
        <v>1013956.3883114526</v>
      </c>
      <c r="H83" s="1159"/>
      <c r="I83" s="528">
        <v>6.6764245178851144E-3</v>
      </c>
      <c r="J83" s="363">
        <v>4.3497825108744564E-3</v>
      </c>
      <c r="K83" s="364">
        <v>6.9050665059613436E-3</v>
      </c>
      <c r="L83" s="365">
        <v>6.9050665059613436E-3</v>
      </c>
      <c r="M83" s="510">
        <v>-1.8269418444956553E-2</v>
      </c>
      <c r="AB83" s="992" t="s">
        <v>305</v>
      </c>
      <c r="AC83" s="986">
        <v>4</v>
      </c>
      <c r="AD83">
        <v>22</v>
      </c>
      <c r="AE83">
        <v>26</v>
      </c>
      <c r="AG83" s="935"/>
      <c r="AH83" s="974"/>
      <c r="AI83" s="936"/>
      <c r="AJ83" s="974"/>
      <c r="AK83" s="935"/>
      <c r="AL83" s="937"/>
      <c r="BX83" s="945" t="s">
        <v>771</v>
      </c>
      <c r="BY83" s="946">
        <v>9</v>
      </c>
      <c r="CI83" s="121"/>
    </row>
    <row r="84" spans="1:87" ht="17" thickBot="1" x14ac:dyDescent="1.2">
      <c r="A84" s="1161"/>
      <c r="B84" s="341" t="s">
        <v>321</v>
      </c>
      <c r="C84" s="342">
        <v>41946</v>
      </c>
      <c r="D84" s="343">
        <v>44929</v>
      </c>
      <c r="E84" s="344">
        <v>46070</v>
      </c>
      <c r="F84" s="345">
        <v>132945</v>
      </c>
      <c r="G84" s="382">
        <v>1146901.3883114527</v>
      </c>
      <c r="H84" s="1159"/>
      <c r="I84" s="528">
        <v>-9.3992064991498207E-3</v>
      </c>
      <c r="J84" s="363">
        <v>-6.3411267362608924E-3</v>
      </c>
      <c r="K84" s="364">
        <v>-8.1032752852555623E-3</v>
      </c>
      <c r="L84" s="365">
        <v>-8.1032752852555623E-3</v>
      </c>
      <c r="M84" s="510">
        <v>-1.7101683475177598E-2</v>
      </c>
      <c r="AB84" s="992" t="s">
        <v>308</v>
      </c>
      <c r="AC84" s="986">
        <v>18</v>
      </c>
      <c r="AG84" s="932"/>
      <c r="AH84" s="973"/>
      <c r="AI84" s="932"/>
      <c r="AJ84" s="973"/>
      <c r="AK84" s="932"/>
      <c r="AL84" s="934"/>
      <c r="BX84" s="947" t="s">
        <v>293</v>
      </c>
      <c r="BY84">
        <v>3</v>
      </c>
      <c r="CI84" s="121"/>
    </row>
    <row r="85" spans="1:87" ht="17" thickBot="1" x14ac:dyDescent="1.2">
      <c r="A85" s="1161"/>
      <c r="B85" s="341" t="s">
        <v>323</v>
      </c>
      <c r="C85" s="342">
        <v>41381</v>
      </c>
      <c r="D85" s="343">
        <v>44334</v>
      </c>
      <c r="E85" s="344">
        <v>45824</v>
      </c>
      <c r="F85" s="345">
        <v>131539</v>
      </c>
      <c r="G85" s="382">
        <v>1278440.3883114527</v>
      </c>
      <c r="H85" s="1159"/>
      <c r="I85" s="528">
        <v>-8.2095858988289264E-4</v>
      </c>
      <c r="J85" s="363">
        <v>2.9775950021348793E-2</v>
      </c>
      <c r="K85" s="364">
        <v>6.3762817171668651E-3</v>
      </c>
      <c r="L85" s="365">
        <v>6.3762817171668651E-3</v>
      </c>
      <c r="M85" s="510">
        <v>-1.4736709221165878E-2</v>
      </c>
      <c r="AB85" s="988" t="s">
        <v>770</v>
      </c>
      <c r="AC85" s="989">
        <v>1</v>
      </c>
      <c r="AG85" s="930"/>
      <c r="AH85" s="972"/>
      <c r="AI85" s="930"/>
      <c r="AJ85" s="972"/>
      <c r="AK85" s="930"/>
      <c r="AL85" s="931"/>
      <c r="BX85" s="947" t="s">
        <v>297</v>
      </c>
      <c r="BY85">
        <v>3</v>
      </c>
      <c r="CI85" s="121"/>
    </row>
    <row r="86" spans="1:87" ht="17" thickBot="1" x14ac:dyDescent="1.2">
      <c r="A86" s="1161"/>
      <c r="B86" s="341" t="s">
        <v>326</v>
      </c>
      <c r="C86" s="342">
        <v>38837.210682722696</v>
      </c>
      <c r="D86" s="343">
        <v>44338</v>
      </c>
      <c r="E86" s="344">
        <v>44525</v>
      </c>
      <c r="F86" s="345">
        <v>127700.2106827227</v>
      </c>
      <c r="G86" s="382">
        <v>1406140.5989941754</v>
      </c>
      <c r="H86" s="1159"/>
      <c r="I86" s="528">
        <v>-6.6076453463443638E-2</v>
      </c>
      <c r="J86" s="363">
        <v>-7.6303328171637601E-4</v>
      </c>
      <c r="K86" s="364">
        <v>-2.0771490597100706E-2</v>
      </c>
      <c r="L86" s="365">
        <v>-2.0771490597100706E-2</v>
      </c>
      <c r="M86" s="510">
        <v>-1.5287833650538984E-2</v>
      </c>
      <c r="AB86" s="992" t="s">
        <v>223</v>
      </c>
      <c r="AC86" s="986">
        <v>1</v>
      </c>
      <c r="AG86" s="932"/>
      <c r="AH86" s="973"/>
      <c r="AI86" s="938"/>
      <c r="AJ86" s="973"/>
      <c r="AK86" s="932"/>
      <c r="AL86" s="934"/>
      <c r="BX86" s="947" t="s">
        <v>296</v>
      </c>
      <c r="BY86">
        <v>1</v>
      </c>
      <c r="CI86" s="121"/>
    </row>
    <row r="87" spans="1:87" ht="17" thickBot="1" x14ac:dyDescent="1.2">
      <c r="A87" s="1162"/>
      <c r="B87" s="341" t="s">
        <v>327</v>
      </c>
      <c r="C87" s="529">
        <v>40499</v>
      </c>
      <c r="D87" s="353">
        <v>46137</v>
      </c>
      <c r="E87" s="530">
        <v>44030</v>
      </c>
      <c r="F87" s="386">
        <v>130666</v>
      </c>
      <c r="G87" s="382">
        <v>1536806.5989941754</v>
      </c>
      <c r="H87" s="1159"/>
      <c r="I87" s="528">
        <v>-7.6206812055868659E-3</v>
      </c>
      <c r="J87" s="363">
        <v>8.3821912788567248E-3</v>
      </c>
      <c r="K87" s="364">
        <v>1.7402770643748511E-3</v>
      </c>
      <c r="L87" s="365">
        <v>1.7402770643748511E-3</v>
      </c>
      <c r="M87" s="510">
        <v>-1.3862580045919781E-2</v>
      </c>
      <c r="AB87" s="988" t="s">
        <v>771</v>
      </c>
      <c r="AC87" s="989">
        <v>9</v>
      </c>
      <c r="AG87" s="930"/>
      <c r="AH87" s="972"/>
      <c r="AI87" s="933"/>
      <c r="AJ87" s="972"/>
      <c r="AK87" s="930"/>
      <c r="AL87" s="931"/>
      <c r="BX87" s="947" t="s">
        <v>305</v>
      </c>
      <c r="BY87">
        <v>2</v>
      </c>
      <c r="CI87" s="121"/>
    </row>
    <row r="88" spans="1:87" ht="17" thickBot="1" x14ac:dyDescent="1.2">
      <c r="A88" s="514" t="s">
        <v>329</v>
      </c>
      <c r="B88" s="370"/>
      <c r="C88" s="356">
        <v>39360.54991618127</v>
      </c>
      <c r="D88" s="356">
        <v>43766</v>
      </c>
      <c r="E88" s="356">
        <v>44940.666666666664</v>
      </c>
      <c r="F88" s="357">
        <v>128067.21658284795</v>
      </c>
      <c r="G88" s="357"/>
      <c r="H88" s="1160"/>
      <c r="I88" s="531">
        <v>-2.8460415551625262E-2</v>
      </c>
      <c r="J88" s="371">
        <v>-8.5052083630087205E-3</v>
      </c>
      <c r="K88" s="372">
        <v>-6.0123490922495693E-3</v>
      </c>
      <c r="L88" s="373"/>
      <c r="M88" s="372">
        <v>-1.3862580045919781E-2</v>
      </c>
      <c r="AB88" s="992" t="s">
        <v>223</v>
      </c>
      <c r="AC88" s="986">
        <v>3</v>
      </c>
      <c r="AG88" s="932"/>
      <c r="AH88" s="973"/>
      <c r="AI88" s="938"/>
      <c r="AJ88" s="973"/>
      <c r="AK88" s="932"/>
      <c r="AL88" s="934"/>
      <c r="BX88" s="945" t="s">
        <v>334</v>
      </c>
      <c r="BY88" s="946">
        <v>13381</v>
      </c>
      <c r="CI88" s="121"/>
    </row>
    <row r="89" spans="1:87" ht="17" thickBot="1" x14ac:dyDescent="1.2">
      <c r="A89" s="1161">
        <v>2011</v>
      </c>
      <c r="B89" s="532" t="s">
        <v>295</v>
      </c>
      <c r="C89" s="533">
        <v>34438</v>
      </c>
      <c r="D89" s="534">
        <v>40650</v>
      </c>
      <c r="E89" s="535">
        <v>40584</v>
      </c>
      <c r="F89" s="337">
        <v>115672</v>
      </c>
      <c r="G89" s="381">
        <v>115672</v>
      </c>
      <c r="H89" s="1163" t="s">
        <v>349</v>
      </c>
      <c r="I89" s="536">
        <v>-0.11171296654543579</v>
      </c>
      <c r="J89" s="537">
        <v>-7.2775227117319527E-3</v>
      </c>
      <c r="K89" s="538">
        <v>-7.6291079812206572E-3</v>
      </c>
      <c r="L89" s="539">
        <v>-4.0965733378657387E-2</v>
      </c>
      <c r="M89" s="540">
        <v>-4.0965733378657387E-2</v>
      </c>
      <c r="AB89" s="992" t="s">
        <v>297</v>
      </c>
      <c r="AC89" s="986">
        <v>3</v>
      </c>
      <c r="AG89" s="1148"/>
      <c r="AH89" s="1149"/>
      <c r="AI89" s="1149"/>
      <c r="AJ89" s="1149"/>
      <c r="AK89" s="1149"/>
      <c r="AL89" s="1150"/>
      <c r="BG89">
        <v>1274.6386691804671</v>
      </c>
      <c r="BH89">
        <v>1282.5084922075964</v>
      </c>
      <c r="BX89" s="947" t="s">
        <v>293</v>
      </c>
      <c r="BY89">
        <v>12946</v>
      </c>
      <c r="CI89" s="121"/>
    </row>
    <row r="90" spans="1:87" ht="17" thickBot="1" x14ac:dyDescent="1.2">
      <c r="A90" s="1161"/>
      <c r="B90" s="541" t="s">
        <v>299</v>
      </c>
      <c r="C90" s="542">
        <v>38278</v>
      </c>
      <c r="D90" s="543">
        <v>41594</v>
      </c>
      <c r="E90" s="544">
        <v>42191</v>
      </c>
      <c r="F90" s="345">
        <v>122063</v>
      </c>
      <c r="G90" s="382">
        <v>237735</v>
      </c>
      <c r="H90" s="1163"/>
      <c r="I90" s="545">
        <v>-5.1421207840804894E-2</v>
      </c>
      <c r="J90" s="546">
        <v>-1.6457791440056751E-2</v>
      </c>
      <c r="K90" s="547">
        <v>-1.6962184580255831E-2</v>
      </c>
      <c r="L90" s="548">
        <v>-2.786671126614737E-2</v>
      </c>
      <c r="M90" s="549">
        <v>-3.4284553671168894E-2</v>
      </c>
      <c r="AB90" s="992" t="s">
        <v>301</v>
      </c>
      <c r="AC90" s="986">
        <v>1</v>
      </c>
      <c r="AG90" s="927"/>
      <c r="AH90" s="971"/>
      <c r="AI90" s="928"/>
      <c r="AJ90" s="971"/>
      <c r="AK90" s="927"/>
      <c r="AL90" s="929"/>
      <c r="BG90">
        <v>1625.0318441103354</v>
      </c>
      <c r="BX90" s="947" t="s">
        <v>297</v>
      </c>
      <c r="BY90">
        <v>15</v>
      </c>
      <c r="CI90" s="121"/>
    </row>
    <row r="91" spans="1:87" ht="17" thickBot="1" x14ac:dyDescent="1.2">
      <c r="A91" s="1161"/>
      <c r="B91" s="532" t="s">
        <v>303</v>
      </c>
      <c r="C91" s="542">
        <v>39577.55385956086</v>
      </c>
      <c r="D91" s="543">
        <v>42024</v>
      </c>
      <c r="E91" s="544">
        <v>42382</v>
      </c>
      <c r="F91" s="345">
        <v>123983.55385956087</v>
      </c>
      <c r="G91" s="382">
        <v>361718.55385956087</v>
      </c>
      <c r="H91" s="1163"/>
      <c r="I91" s="545">
        <v>0</v>
      </c>
      <c r="J91" s="546">
        <v>-5.6213084196105732E-2</v>
      </c>
      <c r="K91" s="547">
        <v>-5.1899243881705519E-2</v>
      </c>
      <c r="L91" s="548">
        <v>-3.7443746886191565E-2</v>
      </c>
      <c r="M91" s="549">
        <v>-3.53697398271684E-2</v>
      </c>
      <c r="AB91" s="992" t="s">
        <v>305</v>
      </c>
      <c r="AC91" s="986">
        <v>2</v>
      </c>
      <c r="AG91" s="930"/>
      <c r="AH91" s="972"/>
      <c r="AI91" s="933"/>
      <c r="AJ91" s="972"/>
      <c r="AK91" s="930"/>
      <c r="AL91" s="931"/>
      <c r="BG91">
        <v>0.85288487069688568</v>
      </c>
      <c r="BX91" s="947" t="s">
        <v>296</v>
      </c>
      <c r="BY91">
        <v>419</v>
      </c>
      <c r="CI91" s="121"/>
    </row>
    <row r="92" spans="1:87" ht="17" thickBot="1" x14ac:dyDescent="1.2">
      <c r="A92" s="1161"/>
      <c r="B92" s="541" t="s">
        <v>306</v>
      </c>
      <c r="C92" s="550">
        <v>38191</v>
      </c>
      <c r="D92" s="551">
        <v>41786</v>
      </c>
      <c r="E92" s="552">
        <v>42456</v>
      </c>
      <c r="F92" s="345">
        <v>122433</v>
      </c>
      <c r="G92" s="382">
        <v>484151.55385956087</v>
      </c>
      <c r="H92" s="1163"/>
      <c r="I92" s="553">
        <v>-9.2097753333679234E-3</v>
      </c>
      <c r="J92" s="554">
        <v>1.3903380001455851E-2</v>
      </c>
      <c r="K92" s="555">
        <v>1.5805987402392129E-3</v>
      </c>
      <c r="L92" s="556">
        <v>2.3332350918556788E-3</v>
      </c>
      <c r="M92" s="557">
        <v>-2.6105870993270885E-2</v>
      </c>
      <c r="AB92" s="988" t="s">
        <v>334</v>
      </c>
      <c r="AC92" s="989">
        <v>13381</v>
      </c>
      <c r="AG92" s="932"/>
      <c r="AH92" s="973"/>
      <c r="AI92" s="938"/>
      <c r="AJ92" s="973"/>
      <c r="AK92" s="932"/>
      <c r="AL92" s="934"/>
      <c r="BG92">
        <v>101.56201313464825</v>
      </c>
      <c r="BX92" s="947" t="s">
        <v>308</v>
      </c>
      <c r="BY92">
        <v>1</v>
      </c>
      <c r="CI92" s="121"/>
    </row>
    <row r="93" spans="1:87" ht="17" thickBot="1" x14ac:dyDescent="1.2">
      <c r="A93" s="1161"/>
      <c r="B93" s="532" t="s">
        <v>310</v>
      </c>
      <c r="C93" s="542">
        <v>40629</v>
      </c>
      <c r="D93" s="543">
        <v>44902.820709191597</v>
      </c>
      <c r="E93" s="544">
        <v>45805</v>
      </c>
      <c r="F93" s="345">
        <v>131336.82070919161</v>
      </c>
      <c r="G93" s="382">
        <v>615488.37456875248</v>
      </c>
      <c r="H93" s="1163"/>
      <c r="I93" s="545">
        <v>-3.372416581444574E-2</v>
      </c>
      <c r="J93" s="546">
        <v>-3.6771548808554877E-2</v>
      </c>
      <c r="K93" s="547">
        <v>-6.0583687114173793E-2</v>
      </c>
      <c r="L93" s="548">
        <v>-4.4287923352047232E-2</v>
      </c>
      <c r="M93" s="549">
        <v>-3.0043499430982834E-2</v>
      </c>
      <c r="AB93" s="992" t="s">
        <v>223</v>
      </c>
      <c r="AC93" s="986">
        <v>12946</v>
      </c>
      <c r="AD93">
        <v>10974</v>
      </c>
      <c r="AE93">
        <v>11055</v>
      </c>
      <c r="AG93" s="930"/>
      <c r="AH93" s="972"/>
      <c r="AI93" s="930"/>
      <c r="AJ93" s="972"/>
      <c r="AK93" s="930"/>
      <c r="AL93" s="939"/>
      <c r="BG93">
        <v>0</v>
      </c>
      <c r="BX93" s="945" t="s">
        <v>772</v>
      </c>
      <c r="BY93" s="946">
        <v>22</v>
      </c>
      <c r="CI93" s="121"/>
    </row>
    <row r="94" spans="1:87" ht="17" thickBot="1" x14ac:dyDescent="1.2">
      <c r="A94" s="1161"/>
      <c r="B94" s="541" t="s">
        <v>314</v>
      </c>
      <c r="C94" s="550">
        <v>37310</v>
      </c>
      <c r="D94" s="551">
        <v>43292.140361930658</v>
      </c>
      <c r="E94" s="552">
        <v>46102</v>
      </c>
      <c r="F94" s="345">
        <v>126704.14036193065</v>
      </c>
      <c r="G94" s="382">
        <v>742192.51493068319</v>
      </c>
      <c r="H94" s="1163"/>
      <c r="I94" s="553">
        <v>-3.5867486691818697E-2</v>
      </c>
      <c r="J94" s="554">
        <v>-3.5723887162984268E-2</v>
      </c>
      <c r="K94" s="555">
        <v>-2.4585308056872038E-2</v>
      </c>
      <c r="L94" s="556">
        <v>-3.1743260924585015E-2</v>
      </c>
      <c r="M94" s="557">
        <v>-3.0334098232381757E-2</v>
      </c>
      <c r="AB94" s="992" t="s">
        <v>297</v>
      </c>
      <c r="AC94" s="986">
        <v>15</v>
      </c>
      <c r="AD94">
        <v>27</v>
      </c>
      <c r="AE94">
        <v>27</v>
      </c>
      <c r="AG94" s="932"/>
      <c r="AH94" s="973"/>
      <c r="AI94" s="932"/>
      <c r="AJ94" s="973"/>
      <c r="AK94" s="932"/>
      <c r="AL94" s="934"/>
      <c r="BG94">
        <v>559.60514086665421</v>
      </c>
      <c r="BX94" s="947" t="s">
        <v>293</v>
      </c>
      <c r="BY94">
        <v>22</v>
      </c>
      <c r="CI94" s="121"/>
    </row>
    <row r="95" spans="1:87" ht="17" thickBot="1" x14ac:dyDescent="1.2">
      <c r="A95" s="1161"/>
      <c r="B95" s="532" t="s">
        <v>316</v>
      </c>
      <c r="C95" s="558">
        <v>32469.834451891707</v>
      </c>
      <c r="D95" s="559">
        <v>40295</v>
      </c>
      <c r="E95" s="560">
        <v>44324</v>
      </c>
      <c r="F95" s="345">
        <v>117088.83445189171</v>
      </c>
      <c r="G95" s="382">
        <v>859281.3493825749</v>
      </c>
      <c r="H95" s="1163"/>
      <c r="I95" s="545">
        <v>0</v>
      </c>
      <c r="J95" s="546">
        <v>-1.4647625568543063E-2</v>
      </c>
      <c r="K95" s="547">
        <v>-1.5853279452906436E-2</v>
      </c>
      <c r="L95" s="548">
        <v>-1.1089355212089091E-2</v>
      </c>
      <c r="M95" s="549">
        <v>-2.775593469078308E-2</v>
      </c>
      <c r="AB95" s="992" t="s">
        <v>301</v>
      </c>
      <c r="AC95" s="986">
        <v>419</v>
      </c>
      <c r="AD95">
        <v>561</v>
      </c>
      <c r="AE95">
        <v>568</v>
      </c>
      <c r="AG95" s="930"/>
      <c r="AH95" s="972"/>
      <c r="AI95" s="930"/>
      <c r="AJ95" s="972"/>
      <c r="AK95" s="930"/>
      <c r="AL95" s="931"/>
      <c r="BX95" s="948" t="s">
        <v>3</v>
      </c>
      <c r="BY95" s="949">
        <v>187828</v>
      </c>
      <c r="CI95" s="121"/>
    </row>
    <row r="96" spans="1:87" ht="17" thickBot="1" x14ac:dyDescent="1.2">
      <c r="A96" s="1161"/>
      <c r="B96" s="541" t="s">
        <v>319</v>
      </c>
      <c r="C96" s="550">
        <v>39501</v>
      </c>
      <c r="D96" s="551">
        <v>43816</v>
      </c>
      <c r="E96" s="552">
        <v>47395</v>
      </c>
      <c r="F96" s="345">
        <v>130712</v>
      </c>
      <c r="G96" s="382">
        <v>989993.3493825749</v>
      </c>
      <c r="H96" s="1163"/>
      <c r="I96" s="553">
        <v>7.6014590720097953E-3</v>
      </c>
      <c r="J96" s="554">
        <v>-5.7409970727722434E-3</v>
      </c>
      <c r="K96" s="555">
        <v>1.1158047448370029E-2</v>
      </c>
      <c r="L96" s="556">
        <v>4.3643963609540926E-3</v>
      </c>
      <c r="M96" s="557">
        <v>-2.3633204746392966E-2</v>
      </c>
      <c r="AB96" s="992" t="s">
        <v>308</v>
      </c>
      <c r="AC96" s="986">
        <v>1</v>
      </c>
      <c r="AD96">
        <v>1</v>
      </c>
      <c r="AE96">
        <v>1</v>
      </c>
      <c r="AG96" s="1145"/>
      <c r="AH96" s="1146"/>
      <c r="AI96" s="1146"/>
      <c r="AJ96" s="1146"/>
      <c r="AK96" s="1146"/>
      <c r="AL96" s="1147"/>
      <c r="CI96" s="121"/>
    </row>
    <row r="97" spans="1:87" ht="17" thickBot="1" x14ac:dyDescent="0.8">
      <c r="A97" s="1161"/>
      <c r="B97" s="532" t="s">
        <v>321</v>
      </c>
      <c r="C97" s="542">
        <v>42149</v>
      </c>
      <c r="D97" s="543">
        <v>44852</v>
      </c>
      <c r="E97" s="544">
        <v>46305</v>
      </c>
      <c r="F97" s="345">
        <v>133306</v>
      </c>
      <c r="G97" s="382">
        <v>1123299.3493825749</v>
      </c>
      <c r="H97" s="1163"/>
      <c r="I97" s="545">
        <v>4.8395556191293569E-3</v>
      </c>
      <c r="J97" s="546">
        <v>-1.7138151305392953E-3</v>
      </c>
      <c r="K97" s="547">
        <v>5.1009333622747989E-3</v>
      </c>
      <c r="L97" s="548">
        <v>2.7154086276279799E-3</v>
      </c>
      <c r="M97" s="549">
        <v>-2.0578960989511397E-2</v>
      </c>
      <c r="P97">
        <f>1/13</f>
        <v>7.6923076923076927E-2</v>
      </c>
      <c r="AB97" s="988" t="s">
        <v>772</v>
      </c>
      <c r="AC97" s="989">
        <v>22</v>
      </c>
      <c r="AG97" s="935"/>
      <c r="AH97" s="974"/>
      <c r="AI97" s="936"/>
      <c r="AJ97" s="974"/>
      <c r="AK97" s="935"/>
      <c r="AL97" s="937"/>
      <c r="CI97" s="121"/>
    </row>
    <row r="98" spans="1:87" ht="17" thickBot="1" x14ac:dyDescent="1.2">
      <c r="A98" s="1161"/>
      <c r="B98" s="541" t="s">
        <v>323</v>
      </c>
      <c r="C98" s="542">
        <v>38837.210682722696</v>
      </c>
      <c r="D98" s="543">
        <v>43630</v>
      </c>
      <c r="E98" s="544">
        <v>44120</v>
      </c>
      <c r="F98" s="345">
        <v>126587.2106827227</v>
      </c>
      <c r="G98" s="382">
        <v>1249886.5600652976</v>
      </c>
      <c r="H98" s="1163"/>
      <c r="I98" s="545">
        <v>-6.147239837793441E-2</v>
      </c>
      <c r="J98" s="546">
        <v>-1.5879460459241216E-2</v>
      </c>
      <c r="K98" s="547">
        <v>-3.7185754189944131E-2</v>
      </c>
      <c r="L98" s="548">
        <v>-3.764502784176027E-2</v>
      </c>
      <c r="M98" s="549">
        <v>-2.2334892191468225E-2</v>
      </c>
      <c r="AB98" s="992" t="s">
        <v>223</v>
      </c>
      <c r="AC98" s="986">
        <v>22</v>
      </c>
      <c r="AD98">
        <v>15</v>
      </c>
      <c r="AE98">
        <v>16</v>
      </c>
      <c r="AG98" s="932"/>
      <c r="AH98" s="973"/>
      <c r="AI98" s="932"/>
      <c r="AJ98" s="973"/>
      <c r="AK98" s="932"/>
      <c r="AL98" s="934"/>
      <c r="CI98" s="121"/>
    </row>
    <row r="99" spans="1:87" ht="17" thickBot="1" x14ac:dyDescent="0.8">
      <c r="A99" s="1161"/>
      <c r="B99" s="532" t="s">
        <v>326</v>
      </c>
      <c r="C99" s="542">
        <v>38914</v>
      </c>
      <c r="D99" s="543">
        <v>45013</v>
      </c>
      <c r="E99" s="544">
        <v>43954</v>
      </c>
      <c r="F99" s="345">
        <v>127881</v>
      </c>
      <c r="G99" s="382">
        <v>1377767.5600652976</v>
      </c>
      <c r="H99" s="1163"/>
      <c r="I99" s="545">
        <v>1.9772098955465056E-3</v>
      </c>
      <c r="J99" s="546">
        <v>1.5223961387523117E-2</v>
      </c>
      <c r="K99" s="547">
        <v>-1.2824256035934869E-2</v>
      </c>
      <c r="L99" s="548">
        <v>1.4157323336487782E-3</v>
      </c>
      <c r="M99" s="549">
        <v>-2.0177953007809668E-2</v>
      </c>
      <c r="AB99" s="993" t="s">
        <v>3</v>
      </c>
      <c r="AC99" s="990">
        <v>187828</v>
      </c>
      <c r="AD99">
        <f>SUM(AD48:AD98)</f>
        <v>98390</v>
      </c>
      <c r="AE99">
        <f>SUM(AE48:AE98)</f>
        <v>104778</v>
      </c>
      <c r="AG99" s="930"/>
      <c r="AH99" s="972"/>
      <c r="AI99" s="930"/>
      <c r="AJ99" s="972"/>
      <c r="AK99" s="930"/>
      <c r="AL99" s="931"/>
      <c r="CI99" s="121"/>
    </row>
    <row r="100" spans="1:87" ht="17" thickBot="1" x14ac:dyDescent="0.8">
      <c r="A100" s="1162"/>
      <c r="B100" s="541" t="s">
        <v>327</v>
      </c>
      <c r="C100" s="542">
        <v>39009</v>
      </c>
      <c r="D100" s="543">
        <v>44817</v>
      </c>
      <c r="E100" s="544">
        <v>41196</v>
      </c>
      <c r="F100" s="386">
        <v>125022</v>
      </c>
      <c r="G100" s="382">
        <v>1502789.5600652976</v>
      </c>
      <c r="H100" s="1163"/>
      <c r="I100" s="561">
        <v>-3.6791031877330307E-2</v>
      </c>
      <c r="J100" s="562">
        <v>-2.8610442811626245E-2</v>
      </c>
      <c r="K100" s="563">
        <v>-6.4365205541676129E-2</v>
      </c>
      <c r="L100" s="564">
        <v>-4.3194097929071029E-2</v>
      </c>
      <c r="M100" s="565">
        <v>-2.2134886036500379E-2</v>
      </c>
      <c r="AG100" s="932"/>
      <c r="AH100" s="973"/>
      <c r="AI100" s="938"/>
      <c r="AJ100" s="973"/>
      <c r="AK100" s="932"/>
      <c r="AL100" s="934"/>
      <c r="CI100" s="121"/>
    </row>
    <row r="101" spans="1:87" ht="17" thickBot="1" x14ac:dyDescent="0.75">
      <c r="A101" s="514" t="s">
        <v>329</v>
      </c>
      <c r="B101" s="370"/>
      <c r="C101" s="356">
        <v>38275.29991618127</v>
      </c>
      <c r="D101" s="356">
        <v>43055.996755926855</v>
      </c>
      <c r="E101" s="356">
        <v>43901.166666666664</v>
      </c>
      <c r="F101" s="357">
        <v>125232.4633387748</v>
      </c>
      <c r="G101" s="357"/>
      <c r="H101" s="1164"/>
      <c r="I101" s="371">
        <v>-2.7572023315503791E-2</v>
      </c>
      <c r="J101" s="371">
        <v>-1.6222712701026931E-2</v>
      </c>
      <c r="K101" s="372">
        <v>-2.3130497989942267E-2</v>
      </c>
      <c r="L101" s="373"/>
      <c r="M101" s="372">
        <v>-2.2134886036500379E-2</v>
      </c>
      <c r="AG101" s="930"/>
      <c r="AH101" s="972"/>
      <c r="AI101" s="933"/>
      <c r="AJ101" s="972"/>
      <c r="AK101" s="930"/>
      <c r="AL101" s="931"/>
      <c r="CI101" s="121"/>
    </row>
    <row r="102" spans="1:87" ht="14.25" x14ac:dyDescent="0.65">
      <c r="A102" s="1161">
        <v>2012</v>
      </c>
      <c r="B102" s="532" t="s">
        <v>295</v>
      </c>
      <c r="C102" s="533">
        <v>36756</v>
      </c>
      <c r="D102" s="534">
        <v>40229</v>
      </c>
      <c r="E102" s="535">
        <v>37935</v>
      </c>
      <c r="F102" s="337">
        <v>114920</v>
      </c>
      <c r="G102" s="381">
        <v>114920</v>
      </c>
      <c r="H102" s="1165" t="s">
        <v>350</v>
      </c>
      <c r="I102" s="536">
        <v>6.7309367559091698E-2</v>
      </c>
      <c r="J102" s="537">
        <v>-1.035670356703567E-2</v>
      </c>
      <c r="K102" s="538">
        <v>-6.5272028385570668E-2</v>
      </c>
      <c r="L102" s="539">
        <v>-6.5011411577564626E-3</v>
      </c>
      <c r="M102" s="540">
        <v>-6.5011411577564626E-3</v>
      </c>
      <c r="P102">
        <v>2012</v>
      </c>
      <c r="CI102" s="121"/>
    </row>
    <row r="103" spans="1:87" ht="14.25" x14ac:dyDescent="0.65">
      <c r="A103" s="1161"/>
      <c r="B103" s="541" t="s">
        <v>299</v>
      </c>
      <c r="C103" s="542">
        <v>39916</v>
      </c>
      <c r="D103" s="543">
        <v>42641</v>
      </c>
      <c r="E103" s="544">
        <v>42098</v>
      </c>
      <c r="F103" s="345">
        <v>124655</v>
      </c>
      <c r="G103" s="382">
        <v>239575</v>
      </c>
      <c r="H103" s="1163"/>
      <c r="I103" s="545">
        <v>4.2792204399393907E-2</v>
      </c>
      <c r="J103" s="546">
        <v>2.5171899793239409E-2</v>
      </c>
      <c r="K103" s="547">
        <v>-2.204261572373255E-3</v>
      </c>
      <c r="L103" s="548">
        <v>2.1234936057609621E-2</v>
      </c>
      <c r="M103" s="549">
        <v>7.7397101815046554E-3</v>
      </c>
      <c r="P103">
        <f>P102+$P$97</f>
        <v>2012.0769230769231</v>
      </c>
      <c r="CI103" s="121"/>
    </row>
    <row r="104" spans="1:87" ht="14.25" x14ac:dyDescent="0.65">
      <c r="A104" s="1161"/>
      <c r="B104" s="532" t="s">
        <v>303</v>
      </c>
      <c r="C104" s="542">
        <v>40799</v>
      </c>
      <c r="D104" s="543">
        <v>42827.129822515941</v>
      </c>
      <c r="E104" s="544">
        <v>43161</v>
      </c>
      <c r="F104" s="345">
        <v>126787.12982251594</v>
      </c>
      <c r="G104" s="382">
        <v>366362.12982251594</v>
      </c>
      <c r="H104" s="1163"/>
      <c r="I104" s="545">
        <v>3.0862092810823687E-2</v>
      </c>
      <c r="J104" s="546">
        <v>1.9111217935368855E-2</v>
      </c>
      <c r="K104" s="547">
        <v>1.8380444528337501E-2</v>
      </c>
      <c r="L104" s="548">
        <v>2.2612482669521983E-2</v>
      </c>
      <c r="M104" s="549">
        <v>1.2837538780932967E-2</v>
      </c>
      <c r="P104">
        <f t="shared" ref="P104:P114" si="305">P103+$P$97</f>
        <v>2012.1538461538462</v>
      </c>
      <c r="AC104">
        <f>SUMIF(AB47:AB98,$AG$68,AC47:AC98)</f>
        <v>163378</v>
      </c>
      <c r="CI104" s="121"/>
    </row>
    <row r="105" spans="1:87" ht="14.25" x14ac:dyDescent="0.65">
      <c r="A105" s="1161"/>
      <c r="B105" s="541" t="s">
        <v>306</v>
      </c>
      <c r="C105" s="542">
        <v>37312</v>
      </c>
      <c r="D105" s="543">
        <v>41032</v>
      </c>
      <c r="E105" s="544">
        <v>42770</v>
      </c>
      <c r="F105" s="345">
        <v>121114</v>
      </c>
      <c r="G105" s="382">
        <v>487476.12982251594</v>
      </c>
      <c r="H105" s="1163"/>
      <c r="I105" s="545">
        <v>-2.3015893796967873E-2</v>
      </c>
      <c r="J105" s="546">
        <v>-1.8044321064471354E-2</v>
      </c>
      <c r="K105" s="547">
        <v>7.3958922178255131E-3</v>
      </c>
      <c r="L105" s="548">
        <v>-1.0773239241054333E-2</v>
      </c>
      <c r="M105" s="549">
        <v>6.8668084124736684E-3</v>
      </c>
      <c r="P105">
        <f t="shared" si="305"/>
        <v>2012.2307692307693</v>
      </c>
      <c r="CI105" s="121"/>
    </row>
    <row r="106" spans="1:87" ht="14.25" x14ac:dyDescent="0.65">
      <c r="A106" s="1161"/>
      <c r="B106" s="532" t="s">
        <v>310</v>
      </c>
      <c r="C106" s="542">
        <v>39532</v>
      </c>
      <c r="D106" s="543">
        <v>44101</v>
      </c>
      <c r="E106" s="544">
        <v>47730</v>
      </c>
      <c r="F106" s="345">
        <v>131363</v>
      </c>
      <c r="G106" s="382">
        <v>618839.12982251588</v>
      </c>
      <c r="H106" s="1163"/>
      <c r="I106" s="545">
        <v>-2.700041842034015E-2</v>
      </c>
      <c r="J106" s="546">
        <v>-1.7856800453238897E-2</v>
      </c>
      <c r="K106" s="547">
        <v>4.2025979696539678E-2</v>
      </c>
      <c r="L106" s="548">
        <v>1.9932940866862481E-4</v>
      </c>
      <c r="M106" s="549">
        <v>5.4440593717324237E-3</v>
      </c>
      <c r="P106">
        <f t="shared" si="305"/>
        <v>2012.3076923076924</v>
      </c>
      <c r="CI106" s="121"/>
    </row>
    <row r="107" spans="1:87" ht="14.25" x14ac:dyDescent="0.65">
      <c r="A107" s="1161"/>
      <c r="B107" s="541" t="s">
        <v>314</v>
      </c>
      <c r="C107" s="542">
        <v>38535</v>
      </c>
      <c r="D107" s="543">
        <v>45391</v>
      </c>
      <c r="E107" s="544">
        <v>49113</v>
      </c>
      <c r="F107" s="345">
        <v>133039</v>
      </c>
      <c r="G107" s="382">
        <v>751878.12982251588</v>
      </c>
      <c r="H107" s="1163"/>
      <c r="I107" s="545">
        <v>3.283302063789869E-2</v>
      </c>
      <c r="J107" s="546">
        <v>4.8481309090344565E-2</v>
      </c>
      <c r="K107" s="547">
        <v>6.5311700143160817E-2</v>
      </c>
      <c r="L107" s="548">
        <v>4.9997258337208361E-2</v>
      </c>
      <c r="M107" s="549">
        <v>1.3050003465391091E-2</v>
      </c>
      <c r="P107">
        <f t="shared" si="305"/>
        <v>2012.3846153846155</v>
      </c>
      <c r="CI107" s="121"/>
    </row>
    <row r="108" spans="1:87" ht="14.25" x14ac:dyDescent="0.65">
      <c r="A108" s="1161"/>
      <c r="B108" s="532" t="s">
        <v>316</v>
      </c>
      <c r="C108" s="542">
        <v>35019</v>
      </c>
      <c r="D108" s="543">
        <v>42613</v>
      </c>
      <c r="E108" s="544">
        <v>45682</v>
      </c>
      <c r="F108" s="345">
        <v>123314</v>
      </c>
      <c r="G108" s="382">
        <v>875192.12982251588</v>
      </c>
      <c r="H108" s="1163"/>
      <c r="I108" s="545">
        <v>7.8508732524805863E-2</v>
      </c>
      <c r="J108" s="546">
        <v>5.7525747611366175E-2</v>
      </c>
      <c r="K108" s="547">
        <v>3.0638029058749211E-2</v>
      </c>
      <c r="L108" s="548">
        <v>5.316617572673854E-2</v>
      </c>
      <c r="M108" s="549">
        <v>1.8516380521203413E-2</v>
      </c>
      <c r="P108">
        <f t="shared" si="305"/>
        <v>2012.4615384615386</v>
      </c>
      <c r="CI108" s="121"/>
    </row>
    <row r="109" spans="1:87" ht="14.25" x14ac:dyDescent="0.65">
      <c r="A109" s="1161"/>
      <c r="B109" s="541" t="s">
        <v>319</v>
      </c>
      <c r="C109" s="542">
        <v>38080</v>
      </c>
      <c r="D109" s="543">
        <v>44481</v>
      </c>
      <c r="E109" s="544">
        <v>46569</v>
      </c>
      <c r="F109" s="345">
        <v>129130</v>
      </c>
      <c r="G109" s="382">
        <v>1004322.1298225159</v>
      </c>
      <c r="H109" s="1163"/>
      <c r="I109" s="545">
        <v>-3.5973772815878081E-2</v>
      </c>
      <c r="J109" s="546">
        <v>1.5177104254153733E-2</v>
      </c>
      <c r="K109" s="547">
        <v>-1.7427998734043677E-2</v>
      </c>
      <c r="L109" s="548">
        <v>-1.2102943876614258E-2</v>
      </c>
      <c r="M109" s="549">
        <v>1.4473612826669369E-2</v>
      </c>
      <c r="P109">
        <f t="shared" si="305"/>
        <v>2012.5384615384617</v>
      </c>
      <c r="CI109" s="121"/>
    </row>
    <row r="110" spans="1:87" ht="14.25" x14ac:dyDescent="0.65">
      <c r="A110" s="1161"/>
      <c r="B110" s="532" t="s">
        <v>321</v>
      </c>
      <c r="C110" s="542">
        <v>40494</v>
      </c>
      <c r="D110" s="543">
        <v>45206</v>
      </c>
      <c r="E110" s="544">
        <v>45960</v>
      </c>
      <c r="F110" s="345">
        <v>131660</v>
      </c>
      <c r="G110" s="382">
        <v>1135982.1298225159</v>
      </c>
      <c r="H110" s="1163"/>
      <c r="I110" s="545">
        <v>-3.9265463000308427E-2</v>
      </c>
      <c r="J110" s="546">
        <v>7.8926246321234274E-3</v>
      </c>
      <c r="K110" s="547">
        <v>-7.4505992873339809E-3</v>
      </c>
      <c r="L110" s="548">
        <v>-1.2347531243904974E-2</v>
      </c>
      <c r="M110" s="549">
        <v>1.1290650570493277E-2</v>
      </c>
      <c r="P110">
        <f t="shared" si="305"/>
        <v>2012.6153846153848</v>
      </c>
      <c r="CI110" s="121"/>
    </row>
    <row r="111" spans="1:87" ht="14.25" x14ac:dyDescent="0.65">
      <c r="A111" s="1161"/>
      <c r="B111" s="541" t="s">
        <v>323</v>
      </c>
      <c r="C111" s="542">
        <v>40938</v>
      </c>
      <c r="D111" s="543">
        <v>45269</v>
      </c>
      <c r="E111" s="544">
        <v>45129</v>
      </c>
      <c r="F111" s="345">
        <v>131336</v>
      </c>
      <c r="G111" s="382">
        <v>1267318.1298225159</v>
      </c>
      <c r="H111" s="1163"/>
      <c r="I111" s="545">
        <v>5.4092178103096134E-2</v>
      </c>
      <c r="J111" s="546">
        <v>3.7565895026358008E-2</v>
      </c>
      <c r="K111" s="547">
        <v>2.2869446962828648E-2</v>
      </c>
      <c r="L111" s="548">
        <v>3.7513973897249642E-2</v>
      </c>
      <c r="M111" s="549">
        <v>1.3946521479763385E-2</v>
      </c>
      <c r="P111">
        <f t="shared" si="305"/>
        <v>2012.6923076923078</v>
      </c>
      <c r="CI111" s="121"/>
    </row>
    <row r="112" spans="1:87" ht="14.25" x14ac:dyDescent="0.65">
      <c r="A112" s="1161"/>
      <c r="B112" s="532" t="s">
        <v>326</v>
      </c>
      <c r="C112" s="542">
        <v>40371</v>
      </c>
      <c r="D112" s="543">
        <v>45583</v>
      </c>
      <c r="E112" s="544">
        <v>43603</v>
      </c>
      <c r="F112" s="345">
        <v>129557</v>
      </c>
      <c r="G112" s="382">
        <v>1396875.1298225159</v>
      </c>
      <c r="H112" s="1163"/>
      <c r="I112" s="545">
        <v>3.7441537749910055E-2</v>
      </c>
      <c r="J112" s="546">
        <v>1.2663008464221448E-2</v>
      </c>
      <c r="K112" s="547">
        <v>-7.9856213313919105E-3</v>
      </c>
      <c r="L112" s="548">
        <v>1.3105934423409238E-2</v>
      </c>
      <c r="M112" s="549">
        <v>1.3868500254362592E-2</v>
      </c>
      <c r="P112">
        <f t="shared" si="305"/>
        <v>2012.7692307692309</v>
      </c>
      <c r="CI112" s="121"/>
    </row>
    <row r="113" spans="1:87" ht="15" thickBot="1" x14ac:dyDescent="0.8">
      <c r="A113" s="1162"/>
      <c r="B113" s="541" t="s">
        <v>327</v>
      </c>
      <c r="C113" s="542">
        <v>39019</v>
      </c>
      <c r="D113" s="543">
        <v>46113</v>
      </c>
      <c r="E113" s="544">
        <v>42487</v>
      </c>
      <c r="F113" s="386">
        <v>127619</v>
      </c>
      <c r="G113" s="382">
        <v>1524494.1298225159</v>
      </c>
      <c r="H113" s="1163"/>
      <c r="I113" s="561">
        <v>2.563510984644569E-4</v>
      </c>
      <c r="J113" s="562">
        <v>2.8917598232813441E-2</v>
      </c>
      <c r="K113" s="563">
        <v>3.1337993979998056E-2</v>
      </c>
      <c r="L113" s="564">
        <v>2.0772344067444104E-2</v>
      </c>
      <c r="M113" s="565">
        <v>1.4442853699539349E-2</v>
      </c>
      <c r="P113">
        <f t="shared" si="305"/>
        <v>2012.846153846154</v>
      </c>
      <c r="CI113" s="121"/>
    </row>
    <row r="114" spans="1:87" ht="15" thickBot="1" x14ac:dyDescent="0.75">
      <c r="A114" s="514" t="s">
        <v>329</v>
      </c>
      <c r="B114" s="370"/>
      <c r="C114" s="356">
        <v>38897.583333333336</v>
      </c>
      <c r="D114" s="356">
        <v>43790.510818542993</v>
      </c>
      <c r="E114" s="356">
        <v>44353.083333333336</v>
      </c>
      <c r="F114" s="357">
        <v>127041.17748520966</v>
      </c>
      <c r="G114" s="357"/>
      <c r="H114" s="1164"/>
      <c r="I114" s="371">
        <v>1.6258093823295905E-2</v>
      </c>
      <c r="J114" s="371">
        <v>1.7059506641546429E-2</v>
      </c>
      <c r="K114" s="372">
        <v>1.0293955741495164E-2</v>
      </c>
      <c r="L114" s="373"/>
      <c r="M114" s="372">
        <v>1.4442853699539349E-2</v>
      </c>
      <c r="P114">
        <f t="shared" si="305"/>
        <v>2012.9230769230771</v>
      </c>
      <c r="CI114" s="121"/>
    </row>
    <row r="115" spans="1:87" ht="14.25" x14ac:dyDescent="0.65">
      <c r="A115" s="1228" t="s">
        <v>351</v>
      </c>
      <c r="B115" s="532" t="s">
        <v>295</v>
      </c>
      <c r="C115" s="533">
        <v>38446</v>
      </c>
      <c r="D115" s="534">
        <v>42881</v>
      </c>
      <c r="E115" s="535">
        <v>41350</v>
      </c>
      <c r="F115" s="337">
        <v>122677</v>
      </c>
      <c r="G115" s="381">
        <v>122677</v>
      </c>
      <c r="H115" s="1165" t="s">
        <v>352</v>
      </c>
      <c r="I115" s="536">
        <v>4.5978887800631189E-2</v>
      </c>
      <c r="J115" s="537">
        <v>6.5922593154192244E-2</v>
      </c>
      <c r="K115" s="538">
        <v>9.0022406748385395E-2</v>
      </c>
      <c r="L115" s="539">
        <v>6.7499129829446503E-2</v>
      </c>
      <c r="M115" s="540">
        <v>6.7499129829446503E-2</v>
      </c>
      <c r="O115" s="375">
        <v>2013</v>
      </c>
      <c r="P115" s="375">
        <v>2013</v>
      </c>
      <c r="CI115" s="121"/>
    </row>
    <row r="116" spans="1:87" ht="14.25" x14ac:dyDescent="0.65">
      <c r="A116" s="1229"/>
      <c r="B116" s="541" t="s">
        <v>299</v>
      </c>
      <c r="C116" s="542">
        <v>40169</v>
      </c>
      <c r="D116" s="543">
        <v>44492</v>
      </c>
      <c r="E116" s="544">
        <v>43946</v>
      </c>
      <c r="F116" s="345">
        <v>128607</v>
      </c>
      <c r="G116" s="382">
        <v>251284</v>
      </c>
      <c r="H116" s="1163"/>
      <c r="I116" s="545">
        <v>6.3383104519490934E-3</v>
      </c>
      <c r="J116" s="546">
        <v>4.340892568185549E-2</v>
      </c>
      <c r="K116" s="547">
        <v>4.3897572331227139E-2</v>
      </c>
      <c r="L116" s="548">
        <v>3.1703501664594347E-2</v>
      </c>
      <c r="M116" s="549">
        <v>4.8874047792966779E-2</v>
      </c>
      <c r="O116" s="375">
        <v>2013</v>
      </c>
      <c r="P116" s="375">
        <f t="shared" ref="P116:P179" si="306">P115+$P$97</f>
        <v>2013.0769230769231</v>
      </c>
      <c r="CI116" s="121"/>
    </row>
    <row r="117" spans="1:87" ht="14.25" x14ac:dyDescent="0.65">
      <c r="A117" s="1229"/>
      <c r="B117" s="532" t="s">
        <v>303</v>
      </c>
      <c r="C117" s="542">
        <v>38554</v>
      </c>
      <c r="D117" s="543">
        <v>43020</v>
      </c>
      <c r="E117" s="544">
        <v>43475</v>
      </c>
      <c r="F117" s="345">
        <v>125049</v>
      </c>
      <c r="G117" s="382">
        <v>376333</v>
      </c>
      <c r="H117" s="1163"/>
      <c r="I117" s="545">
        <v>-5.5025858476923456E-2</v>
      </c>
      <c r="J117" s="546">
        <v>4.5034579315343156E-3</v>
      </c>
      <c r="K117" s="547">
        <v>7.2750863047658767E-3</v>
      </c>
      <c r="L117" s="548">
        <v>-1.3709039907671028E-2</v>
      </c>
      <c r="M117" s="549">
        <v>2.7215886593721983E-2</v>
      </c>
      <c r="O117" s="375">
        <v>2013</v>
      </c>
      <c r="P117" s="375">
        <f t="shared" si="306"/>
        <v>2013.1538461538462</v>
      </c>
      <c r="CI117" s="121"/>
    </row>
    <row r="118" spans="1:87" ht="14.25" x14ac:dyDescent="0.65">
      <c r="A118" s="1229"/>
      <c r="B118" s="541" t="s">
        <v>306</v>
      </c>
      <c r="C118" s="566">
        <v>41025.992454615342</v>
      </c>
      <c r="D118" s="543">
        <v>45251</v>
      </c>
      <c r="E118" s="544">
        <v>45048</v>
      </c>
      <c r="F118" s="345">
        <v>131324.99245461533</v>
      </c>
      <c r="G118" s="382">
        <v>507657.99245461531</v>
      </c>
      <c r="H118" s="1163"/>
      <c r="I118" s="545">
        <v>9.9538820074382015E-2</v>
      </c>
      <c r="J118" s="546">
        <v>0.10282218756092805</v>
      </c>
      <c r="K118" s="547">
        <v>5.3261631985036244E-2</v>
      </c>
      <c r="L118" s="548">
        <v>8.4308935834134235E-2</v>
      </c>
      <c r="M118" s="549">
        <v>4.1400719742825887E-2</v>
      </c>
      <c r="O118" s="375">
        <v>2013</v>
      </c>
      <c r="P118" s="375">
        <f t="shared" si="306"/>
        <v>2013.2307692307693</v>
      </c>
      <c r="CI118" s="121"/>
    </row>
    <row r="119" spans="1:87" ht="14.25" x14ac:dyDescent="0.65">
      <c r="A119" s="1229"/>
      <c r="B119" s="532" t="s">
        <v>310</v>
      </c>
      <c r="C119" s="566">
        <v>41638.072431964101</v>
      </c>
      <c r="D119" s="543">
        <v>46760</v>
      </c>
      <c r="E119" s="544">
        <v>46681</v>
      </c>
      <c r="F119" s="345">
        <v>135079.0724319641</v>
      </c>
      <c r="G119" s="382">
        <v>642737.06488657941</v>
      </c>
      <c r="H119" s="1163"/>
      <c r="I119" s="567">
        <v>5.3275129817972812E-2</v>
      </c>
      <c r="J119" s="546">
        <v>6.0293417382825787E-2</v>
      </c>
      <c r="K119" s="547">
        <v>-2.1977791745233604E-2</v>
      </c>
      <c r="L119" s="548">
        <v>2.8288577696642836E-2</v>
      </c>
      <c r="M119" s="549">
        <v>3.8617362594568716E-2</v>
      </c>
      <c r="O119" s="375">
        <v>2013</v>
      </c>
      <c r="P119" s="375">
        <f t="shared" si="306"/>
        <v>2013.3076923076924</v>
      </c>
      <c r="CI119" s="121"/>
    </row>
    <row r="120" spans="1:87" ht="14.25" x14ac:dyDescent="0.65">
      <c r="A120" s="1229"/>
      <c r="B120" s="541" t="s">
        <v>314</v>
      </c>
      <c r="C120" s="566">
        <v>38222.105951478632</v>
      </c>
      <c r="D120" s="543">
        <v>47287</v>
      </c>
      <c r="E120" s="544">
        <v>47928</v>
      </c>
      <c r="F120" s="345">
        <v>133437.10595147865</v>
      </c>
      <c r="G120" s="382">
        <v>776174.17083805799</v>
      </c>
      <c r="H120" s="1163"/>
      <c r="I120" s="567">
        <v>-8.1197365647169579E-3</v>
      </c>
      <c r="J120" s="546">
        <v>4.1770395012227096E-2</v>
      </c>
      <c r="K120" s="547">
        <v>-2.412803127481522E-2</v>
      </c>
      <c r="L120" s="548">
        <v>2.9924003598842397E-3</v>
      </c>
      <c r="M120" s="549">
        <v>3.2313802000434988E-2</v>
      </c>
      <c r="O120" s="375">
        <v>2013</v>
      </c>
      <c r="P120" s="375">
        <f t="shared" si="306"/>
        <v>2013.3846153846155</v>
      </c>
      <c r="CI120" s="121"/>
    </row>
    <row r="121" spans="1:87" ht="14.25" x14ac:dyDescent="0.65">
      <c r="A121" s="1229"/>
      <c r="B121" s="532" t="s">
        <v>316</v>
      </c>
      <c r="C121" s="566">
        <v>35270.866740609854</v>
      </c>
      <c r="D121" s="543">
        <v>45276.189877627912</v>
      </c>
      <c r="E121" s="544">
        <v>46438</v>
      </c>
      <c r="F121" s="345">
        <v>126985.05661823777</v>
      </c>
      <c r="G121" s="382">
        <v>903159.22745629575</v>
      </c>
      <c r="H121" s="1163"/>
      <c r="I121" s="567">
        <v>7.1922882038280324E-3</v>
      </c>
      <c r="J121" s="546">
        <v>6.2497122418696462E-2</v>
      </c>
      <c r="K121" s="547">
        <v>1.6549187863928901E-2</v>
      </c>
      <c r="L121" s="548">
        <v>2.9769990578829342E-2</v>
      </c>
      <c r="M121" s="549">
        <v>3.195538063105241E-2</v>
      </c>
      <c r="O121" s="375">
        <v>2013</v>
      </c>
      <c r="P121" s="375">
        <f t="shared" si="306"/>
        <v>2013.4615384615386</v>
      </c>
      <c r="CI121" s="121"/>
    </row>
    <row r="122" spans="1:87" ht="14.25" x14ac:dyDescent="0.65">
      <c r="A122" s="1229"/>
      <c r="B122" s="541" t="s">
        <v>319</v>
      </c>
      <c r="C122" s="566">
        <v>40374.267105126455</v>
      </c>
      <c r="D122" s="543">
        <v>46420.427353601655</v>
      </c>
      <c r="E122" s="544">
        <v>47179</v>
      </c>
      <c r="F122" s="345">
        <v>133973.6944587281</v>
      </c>
      <c r="G122" s="382">
        <v>1037132.9219150238</v>
      </c>
      <c r="H122" s="1163"/>
      <c r="I122" s="567">
        <v>6.024861095395103E-2</v>
      </c>
      <c r="J122" s="546">
        <v>4.3601253425095104E-2</v>
      </c>
      <c r="K122" s="568">
        <v>1.3098842577680431E-2</v>
      </c>
      <c r="L122" s="569">
        <v>3.7510218064958689E-2</v>
      </c>
      <c r="M122" s="570">
        <v>3.266958988378188E-2</v>
      </c>
      <c r="O122" s="375">
        <v>2013</v>
      </c>
      <c r="P122" s="375">
        <f t="shared" si="306"/>
        <v>2013.5384615384617</v>
      </c>
      <c r="CI122" s="121"/>
    </row>
    <row r="123" spans="1:87" ht="14.25" x14ac:dyDescent="0.65">
      <c r="A123" s="1229"/>
      <c r="B123" s="532" t="s">
        <v>321</v>
      </c>
      <c r="C123" s="566">
        <v>42472.023969770264</v>
      </c>
      <c r="D123" s="543">
        <v>43342</v>
      </c>
      <c r="E123" s="544">
        <v>46766</v>
      </c>
      <c r="F123" s="345">
        <v>132580.02396977026</v>
      </c>
      <c r="G123" s="382">
        <v>1169712.945884794</v>
      </c>
      <c r="H123" s="1163"/>
      <c r="I123" s="567">
        <v>4.8847334661190886E-2</v>
      </c>
      <c r="J123" s="546">
        <v>-4.1233464584347214E-2</v>
      </c>
      <c r="K123" s="547">
        <v>1.7536988685813749E-2</v>
      </c>
      <c r="L123" s="548">
        <v>6.9878776376293139E-3</v>
      </c>
      <c r="M123" s="549">
        <v>2.9693086868847196E-2</v>
      </c>
      <c r="O123" s="375">
        <v>2013</v>
      </c>
      <c r="P123" s="375">
        <f t="shared" si="306"/>
        <v>2013.6153846153848</v>
      </c>
      <c r="CI123" s="121"/>
    </row>
    <row r="124" spans="1:87" ht="14.25" x14ac:dyDescent="0.65">
      <c r="A124" s="1229"/>
      <c r="B124" s="541" t="s">
        <v>323</v>
      </c>
      <c r="C124" s="566">
        <v>41749.008322299123</v>
      </c>
      <c r="D124" s="543">
        <v>47052</v>
      </c>
      <c r="E124" s="544">
        <v>46704</v>
      </c>
      <c r="F124" s="345">
        <v>135505.00832229911</v>
      </c>
      <c r="G124" s="382">
        <v>1305217.954207093</v>
      </c>
      <c r="H124" s="1163"/>
      <c r="I124" s="567">
        <v>1.9810648353586483E-2</v>
      </c>
      <c r="J124" s="546">
        <v>3.9386776822991451E-2</v>
      </c>
      <c r="K124" s="547">
        <v>3.4899953466728709E-2</v>
      </c>
      <c r="L124" s="548">
        <v>3.1743073660680299E-2</v>
      </c>
      <c r="M124" s="549">
        <v>2.9905533182804644E-2</v>
      </c>
      <c r="O124" s="375">
        <v>2013</v>
      </c>
      <c r="P124" s="375">
        <f t="shared" si="306"/>
        <v>2013.6923076923078</v>
      </c>
      <c r="CI124" s="121"/>
    </row>
    <row r="125" spans="1:87" ht="14.25" x14ac:dyDescent="0.65">
      <c r="A125" s="1229"/>
      <c r="B125" s="532" t="s">
        <v>326</v>
      </c>
      <c r="C125" s="566">
        <v>40370.91955089409</v>
      </c>
      <c r="D125" s="543">
        <v>46729</v>
      </c>
      <c r="E125" s="544">
        <v>44895</v>
      </c>
      <c r="F125" s="345">
        <v>131994.91955089409</v>
      </c>
      <c r="G125" s="382">
        <v>1437212.8737579871</v>
      </c>
      <c r="H125" s="1163"/>
      <c r="I125" s="567">
        <v>-1.9927449384407796E-6</v>
      </c>
      <c r="J125" s="546">
        <v>2.5140951670578945E-2</v>
      </c>
      <c r="K125" s="547">
        <v>2.9630988693438526E-2</v>
      </c>
      <c r="L125" s="548">
        <v>1.8817351057017984E-2</v>
      </c>
      <c r="M125" s="549">
        <v>2.8877129440049831E-2</v>
      </c>
      <c r="O125" s="375">
        <v>2013</v>
      </c>
      <c r="P125" s="375">
        <f t="shared" si="306"/>
        <v>2013.7692307692309</v>
      </c>
      <c r="CI125" s="121"/>
    </row>
    <row r="126" spans="1:87" ht="15" thickBot="1" x14ac:dyDescent="0.8">
      <c r="A126" s="1230"/>
      <c r="B126" s="541" t="s">
        <v>327</v>
      </c>
      <c r="C126" s="566">
        <v>40251.689862017127</v>
      </c>
      <c r="D126" s="543">
        <v>47091</v>
      </c>
      <c r="E126" s="544">
        <v>42936</v>
      </c>
      <c r="F126" s="386">
        <v>130278.68986201713</v>
      </c>
      <c r="G126" s="382">
        <v>1567491.5636200041</v>
      </c>
      <c r="H126" s="1163"/>
      <c r="I126" s="567">
        <v>3.1592041364902401E-2</v>
      </c>
      <c r="J126" s="546">
        <v>2.1208769761238696E-2</v>
      </c>
      <c r="K126" s="563">
        <v>1.0567938428225104E-2</v>
      </c>
      <c r="L126" s="564">
        <v>2.0840861172843672E-2</v>
      </c>
      <c r="M126" s="565">
        <v>2.8204394465260352E-2</v>
      </c>
      <c r="O126" s="375">
        <v>2013</v>
      </c>
      <c r="P126" s="375">
        <f t="shared" si="306"/>
        <v>2013.846153846154</v>
      </c>
      <c r="CI126" s="121"/>
    </row>
    <row r="127" spans="1:87" ht="15" thickBot="1" x14ac:dyDescent="0.8">
      <c r="A127" s="514" t="s">
        <v>329</v>
      </c>
      <c r="B127" s="370"/>
      <c r="C127" s="356">
        <v>39878.66219906458</v>
      </c>
      <c r="D127" s="356">
        <v>45466.801435935799</v>
      </c>
      <c r="E127" s="356">
        <v>45278.833333333336</v>
      </c>
      <c r="F127" s="357">
        <v>130624.29696833367</v>
      </c>
      <c r="G127" s="357"/>
      <c r="H127" s="1164"/>
      <c r="I127" s="571">
        <v>2.5222103319989753E-2</v>
      </c>
      <c r="J127" s="571">
        <v>3.8279768517406332E-2</v>
      </c>
      <c r="K127" s="372">
        <v>2.087228058177093E-2</v>
      </c>
      <c r="L127" s="373"/>
      <c r="M127" s="372">
        <v>2.8204394465260352E-2</v>
      </c>
      <c r="P127" s="375">
        <f t="shared" si="306"/>
        <v>2013.9230769230771</v>
      </c>
      <c r="CI127" s="121"/>
    </row>
    <row r="128" spans="1:87" ht="14.25" x14ac:dyDescent="0.65">
      <c r="A128" s="1161">
        <v>2014</v>
      </c>
      <c r="B128" s="532" t="s">
        <v>295</v>
      </c>
      <c r="C128" s="572">
        <v>39107.855064252552</v>
      </c>
      <c r="D128" s="573">
        <v>45437</v>
      </c>
      <c r="E128" s="574">
        <v>43038</v>
      </c>
      <c r="F128" s="575">
        <v>127582.85506425255</v>
      </c>
      <c r="G128" s="576">
        <v>127582.85506425255</v>
      </c>
      <c r="H128" s="1165" t="s">
        <v>354</v>
      </c>
      <c r="I128" s="577">
        <v>1.7215186605955144E-2</v>
      </c>
      <c r="J128" s="578">
        <v>5.9606818870828575E-2</v>
      </c>
      <c r="K128" s="579">
        <v>4.0822249093107617E-2</v>
      </c>
      <c r="L128" s="580">
        <v>3.9990014951886366E-2</v>
      </c>
      <c r="M128" s="581">
        <v>3.9990014951886366E-2</v>
      </c>
      <c r="O128" s="375">
        <v>2014</v>
      </c>
      <c r="P128" s="375">
        <f t="shared" si="306"/>
        <v>2014.0000000000002</v>
      </c>
      <c r="CI128" s="121"/>
    </row>
    <row r="129" spans="1:87" ht="14.25" x14ac:dyDescent="0.65">
      <c r="A129" s="1161"/>
      <c r="B129" s="541" t="s">
        <v>299</v>
      </c>
      <c r="C129" s="582">
        <v>40949</v>
      </c>
      <c r="D129" s="583">
        <v>46627</v>
      </c>
      <c r="E129" s="584">
        <v>45744</v>
      </c>
      <c r="F129" s="585">
        <v>133320</v>
      </c>
      <c r="G129" s="586">
        <v>260902.85506425257</v>
      </c>
      <c r="H129" s="1163"/>
      <c r="I129" s="587">
        <v>1.9417959122706566E-2</v>
      </c>
      <c r="J129" s="588">
        <v>4.7986154814348647E-2</v>
      </c>
      <c r="K129" s="589">
        <v>4.0913848814454104E-2</v>
      </c>
      <c r="L129" s="590">
        <v>3.6646527793976924E-2</v>
      </c>
      <c r="M129" s="591">
        <v>3.8278820236276712E-2</v>
      </c>
      <c r="O129" s="375">
        <v>2014</v>
      </c>
      <c r="P129" s="375">
        <f t="shared" si="306"/>
        <v>2014.0769230769233</v>
      </c>
      <c r="CI129" s="121"/>
    </row>
    <row r="130" spans="1:87" ht="14.25" x14ac:dyDescent="0.65">
      <c r="A130" s="1161"/>
      <c r="B130" s="532" t="s">
        <v>303</v>
      </c>
      <c r="C130" s="582">
        <v>40977</v>
      </c>
      <c r="D130" s="583">
        <v>46559</v>
      </c>
      <c r="E130" s="584">
        <v>45640</v>
      </c>
      <c r="F130" s="585">
        <v>133176</v>
      </c>
      <c r="G130" s="586">
        <v>394078.85506425257</v>
      </c>
      <c r="H130" s="1163"/>
      <c r="I130" s="587">
        <v>6.2846916013902576E-2</v>
      </c>
      <c r="J130" s="588">
        <v>8.2264063226406323E-2</v>
      </c>
      <c r="K130" s="589">
        <v>4.9798734905117881E-2</v>
      </c>
      <c r="L130" s="590">
        <v>6.4990523714703929E-2</v>
      </c>
      <c r="M130" s="591">
        <v>4.7154661069458648E-2</v>
      </c>
      <c r="O130" s="375">
        <v>2014</v>
      </c>
      <c r="P130" s="375">
        <f t="shared" si="306"/>
        <v>2014.1538461538464</v>
      </c>
      <c r="CI130" s="121"/>
    </row>
    <row r="131" spans="1:87" ht="14.25" x14ac:dyDescent="0.65">
      <c r="A131" s="1161"/>
      <c r="B131" s="541" t="s">
        <v>306</v>
      </c>
      <c r="C131" s="582">
        <v>39242</v>
      </c>
      <c r="D131" s="583">
        <v>46152</v>
      </c>
      <c r="E131" s="584">
        <v>45797</v>
      </c>
      <c r="F131" s="585">
        <v>131191</v>
      </c>
      <c r="G131" s="586">
        <v>525269.85506425262</v>
      </c>
      <c r="H131" s="1163"/>
      <c r="I131" s="587">
        <v>-4.3484443589972097E-2</v>
      </c>
      <c r="J131" s="588">
        <v>1.991116218426112E-2</v>
      </c>
      <c r="K131" s="589">
        <v>1.6626709287870717E-2</v>
      </c>
      <c r="L131" s="590">
        <v>-1.0203119155832718E-3</v>
      </c>
      <c r="M131" s="591">
        <v>3.469237729220187E-2</v>
      </c>
      <c r="O131" s="375">
        <v>2014</v>
      </c>
      <c r="P131" s="375">
        <f t="shared" si="306"/>
        <v>2014.2307692307695</v>
      </c>
      <c r="CI131" s="121"/>
    </row>
    <row r="132" spans="1:87" ht="14.25" x14ac:dyDescent="0.65">
      <c r="A132" s="1161"/>
      <c r="B132" s="532" t="s">
        <v>310</v>
      </c>
      <c r="C132" s="582">
        <v>41187</v>
      </c>
      <c r="D132" s="583">
        <v>49731</v>
      </c>
      <c r="E132" s="584">
        <v>49186</v>
      </c>
      <c r="F132" s="585">
        <v>140104</v>
      </c>
      <c r="G132" s="586">
        <v>665373.85506425262</v>
      </c>
      <c r="H132" s="1163"/>
      <c r="I132" s="587">
        <v>-1.0833172757964383E-2</v>
      </c>
      <c r="J132" s="588">
        <v>6.3537211291702311E-2</v>
      </c>
      <c r="K132" s="589">
        <v>5.3662089501081811E-2</v>
      </c>
      <c r="L132" s="590">
        <v>3.7199896901622731E-2</v>
      </c>
      <c r="M132" s="591">
        <v>3.5219363273639503E-2</v>
      </c>
      <c r="O132" s="375">
        <v>2014</v>
      </c>
      <c r="P132" s="375">
        <f t="shared" si="306"/>
        <v>2014.3076923076926</v>
      </c>
      <c r="CI132" s="121"/>
    </row>
    <row r="133" spans="1:87" ht="14.25" x14ac:dyDescent="0.65">
      <c r="A133" s="1161"/>
      <c r="B133" s="541" t="s">
        <v>314</v>
      </c>
      <c r="C133" s="582">
        <v>38352</v>
      </c>
      <c r="D133" s="583">
        <v>48225</v>
      </c>
      <c r="E133" s="584">
        <v>49375</v>
      </c>
      <c r="F133" s="585">
        <v>135952</v>
      </c>
      <c r="G133" s="586">
        <v>801325.85506425262</v>
      </c>
      <c r="H133" s="1163"/>
      <c r="I133" s="587">
        <v>3.3984011421626797E-3</v>
      </c>
      <c r="J133" s="588">
        <v>1.9836318649946075E-2</v>
      </c>
      <c r="K133" s="589">
        <v>3.0191120013353362E-2</v>
      </c>
      <c r="L133" s="590">
        <v>1.8847036816249885E-2</v>
      </c>
      <c r="M133" s="591">
        <v>3.2404691074733316E-2</v>
      </c>
      <c r="O133" s="375">
        <v>2014</v>
      </c>
      <c r="P133" s="375">
        <f t="shared" si="306"/>
        <v>2014.3846153846157</v>
      </c>
      <c r="CI133" s="121"/>
    </row>
    <row r="134" spans="1:87" ht="14.25" x14ac:dyDescent="0.65">
      <c r="A134" s="1161"/>
      <c r="B134" s="532" t="s">
        <v>316</v>
      </c>
      <c r="C134" s="582">
        <v>36809</v>
      </c>
      <c r="D134" s="583">
        <v>46148.967300339005</v>
      </c>
      <c r="E134" s="584">
        <v>47953</v>
      </c>
      <c r="F134" s="585">
        <v>130910.96730033901</v>
      </c>
      <c r="G134" s="586">
        <v>932236.82236459164</v>
      </c>
      <c r="H134" s="1163"/>
      <c r="I134" s="587">
        <v>4.3609171010792994E-2</v>
      </c>
      <c r="J134" s="588">
        <v>1.9276741816615494E-2</v>
      </c>
      <c r="K134" s="589">
        <v>3.2624144019983634E-2</v>
      </c>
      <c r="L134" s="590">
        <v>3.0916320287228238E-2</v>
      </c>
      <c r="M134" s="591">
        <v>3.2195424709540399E-2</v>
      </c>
      <c r="O134" s="375">
        <v>2014</v>
      </c>
      <c r="P134" s="375">
        <f t="shared" si="306"/>
        <v>2014.4615384615388</v>
      </c>
      <c r="CI134" s="121"/>
    </row>
    <row r="135" spans="1:87" ht="14.25" x14ac:dyDescent="0.65">
      <c r="A135" s="1161"/>
      <c r="B135" s="541" t="s">
        <v>319</v>
      </c>
      <c r="C135" s="582">
        <v>38081</v>
      </c>
      <c r="D135" s="583">
        <v>47806</v>
      </c>
      <c r="E135" s="584">
        <v>49296</v>
      </c>
      <c r="F135" s="585">
        <v>135183</v>
      </c>
      <c r="G135" s="586">
        <v>1067419.8223645915</v>
      </c>
      <c r="H135" s="1163"/>
      <c r="I135" s="587">
        <v>-5.6800216314893091E-2</v>
      </c>
      <c r="J135" s="588">
        <v>2.9848338875554131E-2</v>
      </c>
      <c r="K135" s="589">
        <v>4.4871659000826639E-2</v>
      </c>
      <c r="L135" s="590">
        <v>9.0264401990081122E-3</v>
      </c>
      <c r="M135" s="591">
        <v>2.9202525355809028E-2</v>
      </c>
      <c r="O135" s="375">
        <v>2014</v>
      </c>
      <c r="P135" s="375">
        <f t="shared" si="306"/>
        <v>2014.5384615384619</v>
      </c>
      <c r="CI135" s="121"/>
    </row>
    <row r="136" spans="1:87" ht="14.25" x14ac:dyDescent="0.65">
      <c r="A136" s="1161"/>
      <c r="B136" s="532" t="s">
        <v>321</v>
      </c>
      <c r="C136" s="582">
        <v>42177</v>
      </c>
      <c r="D136" s="583">
        <v>49515.339905179106</v>
      </c>
      <c r="E136" s="584">
        <v>48477</v>
      </c>
      <c r="F136" s="585">
        <v>140169.33990517911</v>
      </c>
      <c r="G136" s="586">
        <v>1207589.1622697706</v>
      </c>
      <c r="H136" s="1163"/>
      <c r="I136" s="592">
        <v>-6.94631294190851E-3</v>
      </c>
      <c r="J136" s="588">
        <v>0.14243320347882205</v>
      </c>
      <c r="K136" s="589">
        <v>3.6586408929564211E-2</v>
      </c>
      <c r="L136" s="590">
        <v>5.724328377809984E-2</v>
      </c>
      <c r="M136" s="591">
        <v>3.2380778992170844E-2</v>
      </c>
      <c r="O136" s="375">
        <v>2014</v>
      </c>
      <c r="P136" s="375">
        <f t="shared" si="306"/>
        <v>2014.615384615385</v>
      </c>
      <c r="CI136" s="121"/>
    </row>
    <row r="137" spans="1:87" ht="14.25" x14ac:dyDescent="0.65">
      <c r="A137" s="1161"/>
      <c r="B137" s="541" t="s">
        <v>323</v>
      </c>
      <c r="C137" s="582">
        <v>42413</v>
      </c>
      <c r="D137" s="583">
        <v>49716</v>
      </c>
      <c r="E137" s="584">
        <v>48109</v>
      </c>
      <c r="F137" s="585">
        <v>140238</v>
      </c>
      <c r="G137" s="586">
        <v>1347827.1622697706</v>
      </c>
      <c r="H137" s="1163"/>
      <c r="I137" s="592">
        <v>1.5904370052934241E-2</v>
      </c>
      <c r="J137" s="588">
        <v>5.6618209640397855E-2</v>
      </c>
      <c r="K137" s="589">
        <v>3.0083076396026035E-2</v>
      </c>
      <c r="L137" s="590">
        <v>3.4928536858530368E-2</v>
      </c>
      <c r="M137" s="591">
        <v>3.264528190509175E-2</v>
      </c>
      <c r="O137" s="375">
        <v>2014</v>
      </c>
      <c r="P137" s="375">
        <f t="shared" si="306"/>
        <v>2014.6923076923081</v>
      </c>
      <c r="CI137" s="121"/>
    </row>
    <row r="138" spans="1:87" ht="14.25" x14ac:dyDescent="0.65">
      <c r="A138" s="1161"/>
      <c r="B138" s="532" t="s">
        <v>326</v>
      </c>
      <c r="C138" s="582">
        <v>41325</v>
      </c>
      <c r="D138" s="583">
        <v>47521</v>
      </c>
      <c r="E138" s="584">
        <v>46984</v>
      </c>
      <c r="F138" s="585">
        <v>135830</v>
      </c>
      <c r="G138" s="586">
        <v>1483657.1622697706</v>
      </c>
      <c r="H138" s="1163"/>
      <c r="I138" s="592">
        <v>2.3632863945621467E-2</v>
      </c>
      <c r="J138" s="588">
        <v>1.6948789830726101E-2</v>
      </c>
      <c r="K138" s="589">
        <v>4.6530794075064039E-2</v>
      </c>
      <c r="L138" s="590">
        <v>2.9054758032768024E-2</v>
      </c>
      <c r="M138" s="591">
        <v>3.23155249718452E-2</v>
      </c>
      <c r="O138" s="375">
        <v>2014</v>
      </c>
      <c r="P138" s="375">
        <f t="shared" si="306"/>
        <v>2014.7692307692312</v>
      </c>
      <c r="CI138" s="121"/>
    </row>
    <row r="139" spans="1:87" ht="15" thickBot="1" x14ac:dyDescent="0.8">
      <c r="A139" s="1162"/>
      <c r="B139" s="541" t="s">
        <v>327</v>
      </c>
      <c r="C139" s="582">
        <v>39046</v>
      </c>
      <c r="D139" s="583">
        <v>48042</v>
      </c>
      <c r="E139" s="584">
        <v>43601</v>
      </c>
      <c r="F139" s="585">
        <v>130689</v>
      </c>
      <c r="G139" s="586">
        <v>1614346.1622697706</v>
      </c>
      <c r="H139" s="1163"/>
      <c r="I139" s="593">
        <v>-2.9953770044195267E-2</v>
      </c>
      <c r="J139" s="594">
        <v>2.019494170860674E-2</v>
      </c>
      <c r="K139" s="595">
        <v>1.548816843674306E-2</v>
      </c>
      <c r="L139" s="596">
        <v>3.1494800755016428E-3</v>
      </c>
      <c r="M139" s="597">
        <v>2.9891451882241293E-2</v>
      </c>
      <c r="O139" s="375">
        <v>2014</v>
      </c>
      <c r="P139" s="375">
        <f t="shared" si="306"/>
        <v>2014.8461538461543</v>
      </c>
      <c r="AN139" s="147"/>
      <c r="CI139" s="121"/>
    </row>
    <row r="140" spans="1:87" ht="15" thickBot="1" x14ac:dyDescent="0.8">
      <c r="A140" s="514" t="s">
        <v>329</v>
      </c>
      <c r="B140" s="370"/>
      <c r="C140" s="598">
        <v>39972.154588687714</v>
      </c>
      <c r="D140" s="598">
        <v>47623.358933793177</v>
      </c>
      <c r="E140" s="598">
        <v>46933.333333333336</v>
      </c>
      <c r="F140" s="599">
        <v>134528.84685581422</v>
      </c>
      <c r="G140" s="599"/>
      <c r="H140" s="1164"/>
      <c r="I140" s="600">
        <v>2.3444214140495578E-3</v>
      </c>
      <c r="J140" s="600">
        <v>4.7431475928563893E-2</v>
      </c>
      <c r="K140" s="601">
        <v>3.6540252435832699E-2</v>
      </c>
      <c r="L140" s="602"/>
      <c r="M140" s="603">
        <v>2.9891451882241293E-2</v>
      </c>
      <c r="O140" s="375"/>
      <c r="P140" s="375">
        <f t="shared" si="306"/>
        <v>2014.9230769230774</v>
      </c>
      <c r="CI140" s="121"/>
    </row>
    <row r="141" spans="1:87" ht="14.25" x14ac:dyDescent="0.65">
      <c r="A141" s="1161">
        <v>2015</v>
      </c>
      <c r="B141" s="532" t="s">
        <v>295</v>
      </c>
      <c r="C141" s="582">
        <v>38668.516129032258</v>
      </c>
      <c r="D141" s="583">
        <v>46015.741935483871</v>
      </c>
      <c r="E141" s="584">
        <v>43100.096774193546</v>
      </c>
      <c r="F141" s="604">
        <v>127784.35483870967</v>
      </c>
      <c r="G141" s="605">
        <v>127784.35483870967</v>
      </c>
      <c r="H141" s="1165" t="s">
        <v>355</v>
      </c>
      <c r="I141" s="577">
        <v>-1.1234033022227341E-2</v>
      </c>
      <c r="J141" s="578">
        <v>1.2737239154958981E-2</v>
      </c>
      <c r="K141" s="579">
        <v>1.4428359634171097E-3</v>
      </c>
      <c r="L141" s="580">
        <v>1.5793640482151261E-3</v>
      </c>
      <c r="M141" s="581">
        <v>1.5793640482151261E-3</v>
      </c>
      <c r="O141" s="375">
        <v>2015</v>
      </c>
      <c r="P141" s="375">
        <f t="shared" si="306"/>
        <v>2015.0000000000005</v>
      </c>
      <c r="CI141" s="121"/>
    </row>
    <row r="142" spans="1:87" ht="14.25" x14ac:dyDescent="0.65">
      <c r="A142" s="1161"/>
      <c r="B142" s="541" t="s">
        <v>299</v>
      </c>
      <c r="C142" s="582">
        <v>40262.571428571428</v>
      </c>
      <c r="D142" s="583">
        <v>47010.821428571428</v>
      </c>
      <c r="E142" s="584">
        <v>44966.642857142855</v>
      </c>
      <c r="F142" s="585">
        <v>132240.03571428571</v>
      </c>
      <c r="G142" s="586">
        <v>260024.39055299538</v>
      </c>
      <c r="H142" s="1163"/>
      <c r="I142" s="587">
        <v>-1.676301183004646E-2</v>
      </c>
      <c r="J142" s="588">
        <v>8.2317418785559336E-3</v>
      </c>
      <c r="K142" s="589">
        <v>-1.6993641632938636E-2</v>
      </c>
      <c r="L142" s="590">
        <v>-8.1005421970768987E-3</v>
      </c>
      <c r="M142" s="591">
        <v>-3.367017624398394E-3</v>
      </c>
      <c r="O142" s="375">
        <v>2015</v>
      </c>
      <c r="P142" s="375">
        <f t="shared" si="306"/>
        <v>2015.0769230769235</v>
      </c>
      <c r="CI142" s="121"/>
    </row>
    <row r="143" spans="1:87" ht="14.25" x14ac:dyDescent="0.65">
      <c r="A143" s="1161"/>
      <c r="B143" s="532" t="s">
        <v>303</v>
      </c>
      <c r="C143" s="582">
        <v>41761.709677419356</v>
      </c>
      <c r="D143" s="583">
        <v>48792.290322580644</v>
      </c>
      <c r="E143" s="584">
        <v>46990.354838709674</v>
      </c>
      <c r="F143" s="585">
        <v>137544.35483870967</v>
      </c>
      <c r="G143" s="586">
        <v>397568.74539170507</v>
      </c>
      <c r="H143" s="1163"/>
      <c r="I143" s="587">
        <v>1.9150003109533544E-2</v>
      </c>
      <c r="J143" s="588">
        <v>4.7966887660401726E-2</v>
      </c>
      <c r="K143" s="589">
        <v>2.9587091119843874E-2</v>
      </c>
      <c r="L143" s="590">
        <v>3.2801366903268292E-2</v>
      </c>
      <c r="M143" s="591">
        <v>8.8558172624702003E-3</v>
      </c>
      <c r="O143" s="375">
        <v>2015</v>
      </c>
      <c r="P143" s="375">
        <f t="shared" si="306"/>
        <v>2015.1538461538466</v>
      </c>
      <c r="CI143" s="121"/>
    </row>
    <row r="144" spans="1:87" ht="14.25" x14ac:dyDescent="0.65">
      <c r="A144" s="1161"/>
      <c r="B144" s="541" t="s">
        <v>306</v>
      </c>
      <c r="C144" s="582">
        <v>39675.333333333336</v>
      </c>
      <c r="D144" s="583">
        <v>48000.333333333336</v>
      </c>
      <c r="E144" s="584">
        <v>47362.8</v>
      </c>
      <c r="F144" s="585">
        <v>135038.46666666667</v>
      </c>
      <c r="G144" s="586">
        <v>532607.21205837175</v>
      </c>
      <c r="H144" s="1163"/>
      <c r="I144" s="587">
        <v>1.1042590421827016E-2</v>
      </c>
      <c r="J144" s="588">
        <v>4.0048824175189283E-2</v>
      </c>
      <c r="K144" s="589">
        <v>3.4190012446230163E-2</v>
      </c>
      <c r="L144" s="590">
        <v>2.9327215027453724E-2</v>
      </c>
      <c r="M144" s="591">
        <v>1.3968738017950066E-2</v>
      </c>
      <c r="O144" s="375">
        <v>2015</v>
      </c>
      <c r="P144" s="375">
        <f t="shared" si="306"/>
        <v>2015.2307692307697</v>
      </c>
      <c r="CI144" s="121"/>
    </row>
    <row r="145" spans="1:87" ht="14.25" x14ac:dyDescent="0.65">
      <c r="A145" s="1161"/>
      <c r="B145" s="532" t="s">
        <v>310</v>
      </c>
      <c r="C145" s="582">
        <v>41099.93548387097</v>
      </c>
      <c r="D145" s="583">
        <v>51095.451612903227</v>
      </c>
      <c r="E145" s="584">
        <v>50494.870967741932</v>
      </c>
      <c r="F145" s="585">
        <v>142690.25806451612</v>
      </c>
      <c r="G145" s="586">
        <v>675297.47012288787</v>
      </c>
      <c r="H145" s="1163"/>
      <c r="I145" s="587">
        <v>-2.1138834129465702E-3</v>
      </c>
      <c r="J145" s="588">
        <v>2.7436641388735944E-2</v>
      </c>
      <c r="K145" s="589">
        <v>2.6610640583538649E-2</v>
      </c>
      <c r="L145" s="590">
        <v>1.8459559074088583E-2</v>
      </c>
      <c r="M145" s="591">
        <v>1.4914344744845653E-2</v>
      </c>
      <c r="O145" s="375">
        <v>2015</v>
      </c>
      <c r="P145" s="375">
        <f t="shared" si="306"/>
        <v>2015.3076923076928</v>
      </c>
      <c r="CI145" s="121"/>
    </row>
    <row r="146" spans="1:87" ht="14.25" x14ac:dyDescent="0.65">
      <c r="A146" s="1161"/>
      <c r="B146" s="541" t="s">
        <v>314</v>
      </c>
      <c r="C146" s="582">
        <v>41135.533333333333</v>
      </c>
      <c r="D146" s="583">
        <v>53010.863414897707</v>
      </c>
      <c r="E146" s="584">
        <v>52500.934550667378</v>
      </c>
      <c r="F146" s="585">
        <v>146647.33129889841</v>
      </c>
      <c r="G146" s="586">
        <v>821944.80142178631</v>
      </c>
      <c r="H146" s="1163"/>
      <c r="I146" s="587">
        <v>7.257857043526629E-2</v>
      </c>
      <c r="J146" s="588">
        <v>9.9240298909231875E-2</v>
      </c>
      <c r="K146" s="589">
        <v>6.3310066848959554E-2</v>
      </c>
      <c r="L146" s="590">
        <v>7.8669907753460055E-2</v>
      </c>
      <c r="M146" s="591">
        <v>2.5731038412432516E-2</v>
      </c>
      <c r="O146" s="375">
        <v>2015</v>
      </c>
      <c r="P146" s="375">
        <f t="shared" si="306"/>
        <v>2015.3846153846159</v>
      </c>
      <c r="CI146" s="121"/>
    </row>
    <row r="147" spans="1:87" ht="14.25" x14ac:dyDescent="0.65">
      <c r="A147" s="1161"/>
      <c r="B147" s="532" t="s">
        <v>316</v>
      </c>
      <c r="C147" s="582">
        <v>38286.548387096773</v>
      </c>
      <c r="D147" s="583">
        <v>50696.967741935485</v>
      </c>
      <c r="E147" s="584">
        <v>51577.40376508185</v>
      </c>
      <c r="F147" s="585">
        <v>140560.91989411411</v>
      </c>
      <c r="G147" s="586">
        <v>962505.72131590045</v>
      </c>
      <c r="H147" s="1163"/>
      <c r="I147" s="587">
        <v>4.0140954307282803E-2</v>
      </c>
      <c r="J147" s="588">
        <v>9.8550427185031944E-2</v>
      </c>
      <c r="K147" s="589">
        <v>7.5582419558356095E-2</v>
      </c>
      <c r="L147" s="590">
        <v>7.3713859066032006E-2</v>
      </c>
      <c r="M147" s="591">
        <v>3.2469108948660397E-2</v>
      </c>
      <c r="O147" s="375">
        <v>2015</v>
      </c>
      <c r="P147" s="375">
        <f t="shared" si="306"/>
        <v>2015.461538461539</v>
      </c>
      <c r="CI147" s="121"/>
    </row>
    <row r="148" spans="1:87" ht="14.25" x14ac:dyDescent="0.65">
      <c r="A148" s="1161"/>
      <c r="B148" s="541" t="s">
        <v>319</v>
      </c>
      <c r="C148" s="582">
        <v>40881.516129032258</v>
      </c>
      <c r="D148" s="583">
        <v>50425.161290322583</v>
      </c>
      <c r="E148" s="584">
        <v>53185.600009105947</v>
      </c>
      <c r="F148" s="585">
        <v>144492.2774284608</v>
      </c>
      <c r="G148" s="586">
        <v>1106997.9987443613</v>
      </c>
      <c r="H148" s="1163"/>
      <c r="I148" s="587">
        <v>7.3541034348684586E-2</v>
      </c>
      <c r="J148" s="588">
        <v>5.4787292187645553E-2</v>
      </c>
      <c r="K148" s="589">
        <v>7.8902953771217685E-2</v>
      </c>
      <c r="L148" s="590">
        <v>6.886426124927536E-2</v>
      </c>
      <c r="M148" s="591">
        <v>3.707835993910491E-2</v>
      </c>
      <c r="O148" s="375">
        <v>2015</v>
      </c>
      <c r="P148" s="375">
        <f t="shared" si="306"/>
        <v>2015.5384615384621</v>
      </c>
      <c r="CI148" s="121"/>
    </row>
    <row r="149" spans="1:87" ht="14.25" x14ac:dyDescent="0.65">
      <c r="A149" s="1161"/>
      <c r="B149" s="532" t="s">
        <v>321</v>
      </c>
      <c r="C149" s="582">
        <v>43724.866666666669</v>
      </c>
      <c r="D149" s="583">
        <v>52659.4</v>
      </c>
      <c r="E149" s="584">
        <v>52589.383127120971</v>
      </c>
      <c r="F149" s="585">
        <v>148973.64979378763</v>
      </c>
      <c r="G149" s="586">
        <v>1255971.648538149</v>
      </c>
      <c r="H149" s="1163"/>
      <c r="I149" s="587">
        <v>3.6699306889220872E-2</v>
      </c>
      <c r="J149" s="588">
        <v>6.3496688114061395E-2</v>
      </c>
      <c r="K149" s="589">
        <v>8.4831634117642815E-2</v>
      </c>
      <c r="L149" s="590">
        <v>6.2811952275471983E-2</v>
      </c>
      <c r="M149" s="591">
        <v>4.0065353168157847E-2</v>
      </c>
      <c r="O149" s="375">
        <v>2015</v>
      </c>
      <c r="P149" s="375">
        <f t="shared" si="306"/>
        <v>2015.6153846153852</v>
      </c>
      <c r="CI149" s="121"/>
    </row>
    <row r="150" spans="1:87" ht="14.25" x14ac:dyDescent="0.65">
      <c r="A150" s="1161"/>
      <c r="B150" s="541" t="s">
        <v>323</v>
      </c>
      <c r="C150" s="582">
        <v>43263.032258064515</v>
      </c>
      <c r="D150" s="583">
        <v>52673.774193548386</v>
      </c>
      <c r="E150" s="584">
        <v>50751.051533165461</v>
      </c>
      <c r="F150" s="585">
        <v>146687.85798477835</v>
      </c>
      <c r="G150" s="586">
        <v>1402659.5065229274</v>
      </c>
      <c r="H150" s="1163"/>
      <c r="I150" s="587">
        <v>2.0041785727595671E-2</v>
      </c>
      <c r="J150" s="588">
        <v>5.9493406419430094E-2</v>
      </c>
      <c r="K150" s="589">
        <v>5.4918030579838711E-2</v>
      </c>
      <c r="L150" s="590">
        <v>4.5992227390424523E-2</v>
      </c>
      <c r="M150" s="591">
        <v>4.0682029408591225E-2</v>
      </c>
      <c r="O150" s="375">
        <v>2015</v>
      </c>
      <c r="P150" s="375">
        <f t="shared" si="306"/>
        <v>2015.6923076923083</v>
      </c>
      <c r="CI150" s="121"/>
    </row>
    <row r="151" spans="1:87" ht="14.25" x14ac:dyDescent="0.65">
      <c r="A151" s="1161"/>
      <c r="B151" s="532" t="s">
        <v>326</v>
      </c>
      <c r="C151" s="582">
        <v>42575.933333333334</v>
      </c>
      <c r="D151" s="583">
        <v>51610.7</v>
      </c>
      <c r="E151" s="584">
        <v>49168.533333333333</v>
      </c>
      <c r="F151" s="585">
        <v>143355.16666666666</v>
      </c>
      <c r="G151" s="586">
        <v>1546014.6731895942</v>
      </c>
      <c r="H151" s="1163"/>
      <c r="I151" s="587">
        <v>3.0270619076426721E-2</v>
      </c>
      <c r="J151" s="588">
        <v>8.6060899391847759E-2</v>
      </c>
      <c r="K151" s="589">
        <v>4.6495260798002147E-2</v>
      </c>
      <c r="L151" s="590">
        <v>5.5401359542565309E-2</v>
      </c>
      <c r="M151" s="591">
        <v>4.2029595856515778E-2</v>
      </c>
      <c r="O151" s="375">
        <v>2015</v>
      </c>
      <c r="P151" s="375">
        <f t="shared" si="306"/>
        <v>2015.7692307692314</v>
      </c>
      <c r="CI151" s="121"/>
    </row>
    <row r="152" spans="1:87" ht="15" thickBot="1" x14ac:dyDescent="0.8">
      <c r="A152" s="1162"/>
      <c r="B152" s="541" t="s">
        <v>327</v>
      </c>
      <c r="C152" s="582">
        <v>40145.193548387098</v>
      </c>
      <c r="D152" s="583">
        <v>50708.06451612903</v>
      </c>
      <c r="E152" s="584">
        <v>45716.645161290326</v>
      </c>
      <c r="F152" s="585">
        <v>136569.90322580645</v>
      </c>
      <c r="G152" s="586">
        <v>1682584.5764154007</v>
      </c>
      <c r="H152" s="1163"/>
      <c r="I152" s="606">
        <v>2.8151245924988435E-2</v>
      </c>
      <c r="J152" s="594">
        <v>5.5494453106220192E-2</v>
      </c>
      <c r="K152" s="595">
        <v>4.8522858679624907E-2</v>
      </c>
      <c r="L152" s="596">
        <v>4.4999221248968491E-2</v>
      </c>
      <c r="M152" s="597">
        <v>4.227000115618762E-2</v>
      </c>
      <c r="O152">
        <v>2015</v>
      </c>
      <c r="P152" s="375">
        <f t="shared" si="306"/>
        <v>2015.8461538461545</v>
      </c>
      <c r="CI152" s="121"/>
    </row>
    <row r="153" spans="1:87" ht="16.25" thickBot="1" x14ac:dyDescent="0.8">
      <c r="A153" s="1215" t="s">
        <v>356</v>
      </c>
      <c r="B153" s="1216"/>
      <c r="C153" s="356">
        <v>40955</v>
      </c>
      <c r="D153" s="356">
        <v>50225</v>
      </c>
      <c r="E153" s="356">
        <v>49035</v>
      </c>
      <c r="F153" s="356">
        <v>140215</v>
      </c>
      <c r="G153" s="607"/>
      <c r="H153" s="1164"/>
      <c r="I153" s="371">
        <v>2.4588252032589519E-2</v>
      </c>
      <c r="J153" s="371">
        <v>5.4629516364514963E-2</v>
      </c>
      <c r="K153" s="372">
        <v>4.4779829545454453E-2</v>
      </c>
      <c r="L153" s="373"/>
      <c r="M153" s="372">
        <v>4.227000115618762E-2</v>
      </c>
      <c r="O153" s="375"/>
      <c r="P153" s="375">
        <f t="shared" si="306"/>
        <v>2015.9230769230776</v>
      </c>
      <c r="CI153" s="121"/>
    </row>
    <row r="154" spans="1:87" ht="14.25" x14ac:dyDescent="0.65">
      <c r="A154" s="1161">
        <v>2016</v>
      </c>
      <c r="B154" s="532" t="s">
        <v>295</v>
      </c>
      <c r="C154" s="582">
        <v>39607.741935483871</v>
      </c>
      <c r="D154" s="583">
        <v>48576.645161290326</v>
      </c>
      <c r="E154" s="584">
        <v>45722.870967741932</v>
      </c>
      <c r="F154" s="604">
        <v>133907.25806451612</v>
      </c>
      <c r="G154" s="605">
        <v>133907.25806451612</v>
      </c>
      <c r="H154" s="1165" t="s">
        <v>357</v>
      </c>
      <c r="I154" s="577">
        <v>2.4289160807658829E-2</v>
      </c>
      <c r="J154" s="578">
        <v>5.5652763991004543E-2</v>
      </c>
      <c r="K154" s="579">
        <v>6.0853092912746987E-2</v>
      </c>
      <c r="L154" s="580">
        <v>4.7915906712796108E-2</v>
      </c>
      <c r="M154" s="581">
        <v>4.7915906712796108E-2</v>
      </c>
      <c r="O154" s="375">
        <v>2016</v>
      </c>
      <c r="P154" s="375">
        <f t="shared" si="306"/>
        <v>2016.0000000000007</v>
      </c>
      <c r="CI154" s="121"/>
    </row>
    <row r="155" spans="1:87" ht="14.25" x14ac:dyDescent="0.65">
      <c r="A155" s="1161"/>
      <c r="B155" s="541" t="s">
        <v>299</v>
      </c>
      <c r="C155" s="582">
        <v>42175</v>
      </c>
      <c r="D155" s="583">
        <v>50786.758620689652</v>
      </c>
      <c r="E155" s="584">
        <v>48931.65517241379</v>
      </c>
      <c r="F155" s="585">
        <v>141893.41379310345</v>
      </c>
      <c r="G155" s="586">
        <v>275800.67185761954</v>
      </c>
      <c r="H155" s="1163"/>
      <c r="I155" s="587">
        <v>4.7498917818037341E-2</v>
      </c>
      <c r="J155" s="588">
        <v>8.032059592609779E-2</v>
      </c>
      <c r="K155" s="589">
        <v>8.8176747547456746E-2</v>
      </c>
      <c r="L155" s="590">
        <v>7.2998907075876529E-2</v>
      </c>
      <c r="M155" s="591">
        <v>6.0672313359037888E-2</v>
      </c>
      <c r="O155" s="375">
        <v>2016</v>
      </c>
      <c r="P155" s="375">
        <f t="shared" si="306"/>
        <v>2016.0769230769238</v>
      </c>
      <c r="CI155" s="121"/>
    </row>
    <row r="156" spans="1:87" ht="14.25" x14ac:dyDescent="0.65">
      <c r="A156" s="1161"/>
      <c r="B156" s="532" t="s">
        <v>303</v>
      </c>
      <c r="C156" s="582">
        <v>41617.387096774197</v>
      </c>
      <c r="D156" s="583">
        <v>50753.290322580644</v>
      </c>
      <c r="E156" s="584">
        <v>49804.483870967742</v>
      </c>
      <c r="F156" s="585">
        <v>142175.16129032261</v>
      </c>
      <c r="G156" s="586">
        <v>417975.83314794215</v>
      </c>
      <c r="H156" s="1163"/>
      <c r="I156" s="587">
        <v>-3.4558590096035913E-3</v>
      </c>
      <c r="J156" s="588">
        <v>4.0190775776976932E-2</v>
      </c>
      <c r="K156" s="589">
        <v>5.9887375652244432E-2</v>
      </c>
      <c r="L156" s="590">
        <v>3.3667731816716229E-2</v>
      </c>
      <c r="M156" s="591">
        <v>5.1329708365608573E-2</v>
      </c>
      <c r="O156" s="375">
        <v>2016</v>
      </c>
      <c r="P156" s="375">
        <f t="shared" si="306"/>
        <v>2016.1538461538469</v>
      </c>
      <c r="CI156" s="121"/>
    </row>
    <row r="157" spans="1:87" ht="14.25" x14ac:dyDescent="0.65">
      <c r="A157" s="1161"/>
      <c r="B157" s="541" t="s">
        <v>306</v>
      </c>
      <c r="C157" s="608">
        <v>44601.033333333333</v>
      </c>
      <c r="D157" s="609">
        <v>54324.1</v>
      </c>
      <c r="E157" s="610">
        <v>53576.4</v>
      </c>
      <c r="F157" s="611">
        <v>152501.53333333333</v>
      </c>
      <c r="G157" s="612">
        <v>570477.36648127553</v>
      </c>
      <c r="H157" s="1163"/>
      <c r="I157" s="613">
        <v>0.12415018567371827</v>
      </c>
      <c r="J157" s="614">
        <v>0.13174422399844438</v>
      </c>
      <c r="K157" s="615">
        <v>0.13119156806607712</v>
      </c>
      <c r="L157" s="616">
        <v>0.12931920139298558</v>
      </c>
      <c r="M157" s="617">
        <v>7.1103345139745144E-2</v>
      </c>
      <c r="O157" s="375">
        <v>2016</v>
      </c>
      <c r="P157" s="375">
        <f t="shared" si="306"/>
        <v>2016.23076923077</v>
      </c>
      <c r="CI157" s="121"/>
    </row>
    <row r="158" spans="1:87" ht="14.25" x14ac:dyDescent="0.65">
      <c r="A158" s="1161"/>
      <c r="B158" s="532" t="s">
        <v>310</v>
      </c>
      <c r="C158" s="582">
        <v>43616.903225806454</v>
      </c>
      <c r="D158" s="583">
        <v>55362.290322580644</v>
      </c>
      <c r="E158" s="584">
        <v>54595.272050195585</v>
      </c>
      <c r="F158" s="585">
        <v>153574.46559858267</v>
      </c>
      <c r="G158" s="586">
        <v>724051.83207985817</v>
      </c>
      <c r="H158" s="1163"/>
      <c r="I158" s="587">
        <v>6.1240187175554801E-2</v>
      </c>
      <c r="J158" s="588">
        <v>8.3507211992229546E-2</v>
      </c>
      <c r="K158" s="589">
        <v>8.1204308553895432E-2</v>
      </c>
      <c r="L158" s="590">
        <v>7.627856086114404E-2</v>
      </c>
      <c r="M158" s="591">
        <v>7.2196867475452287E-2</v>
      </c>
      <c r="O158" s="375">
        <v>2016</v>
      </c>
      <c r="P158" s="375">
        <f t="shared" si="306"/>
        <v>2016.3076923076931</v>
      </c>
      <c r="CI158" s="121"/>
    </row>
    <row r="159" spans="1:87" ht="14.25" x14ac:dyDescent="0.65">
      <c r="A159" s="1161"/>
      <c r="B159" s="541" t="s">
        <v>314</v>
      </c>
      <c r="C159" s="608">
        <v>42355.76666666667</v>
      </c>
      <c r="D159" s="609">
        <v>55511.8</v>
      </c>
      <c r="E159" s="610">
        <v>55002.5</v>
      </c>
      <c r="F159" s="611">
        <v>152870.06666666668</v>
      </c>
      <c r="G159" s="612">
        <v>876921.89874652482</v>
      </c>
      <c r="H159" s="1163"/>
      <c r="I159" s="613">
        <v>2.9663729492588012E-2</v>
      </c>
      <c r="J159" s="614">
        <v>4.7177812697150948E-2</v>
      </c>
      <c r="K159" s="615">
        <v>4.7648017520877113E-2</v>
      </c>
      <c r="L159" s="616">
        <v>4.2433335217570534E-2</v>
      </c>
      <c r="M159" s="617">
        <v>6.6886605073284811E-2</v>
      </c>
      <c r="O159" s="375">
        <v>2016</v>
      </c>
      <c r="P159" s="375">
        <f t="shared" si="306"/>
        <v>2016.3846153846162</v>
      </c>
      <c r="CI159" s="121"/>
    </row>
    <row r="160" spans="1:87" ht="14.25" x14ac:dyDescent="0.65">
      <c r="A160" s="1161"/>
      <c r="B160" s="532" t="s">
        <v>316</v>
      </c>
      <c r="C160" s="608">
        <v>39043.387096774197</v>
      </c>
      <c r="D160" s="609">
        <v>52469.774193548386</v>
      </c>
      <c r="E160" s="610">
        <v>54030.93548387097</v>
      </c>
      <c r="F160" s="611">
        <v>145544.09677419355</v>
      </c>
      <c r="G160" s="612">
        <v>1022465.9955207184</v>
      </c>
      <c r="H160" s="1163"/>
      <c r="I160" s="613">
        <v>1.97677445881356E-2</v>
      </c>
      <c r="J160" s="614">
        <v>3.4968688080854834E-2</v>
      </c>
      <c r="K160" s="615">
        <v>4.7569895723409257E-2</v>
      </c>
      <c r="L160" s="616">
        <v>3.5452079310759332E-2</v>
      </c>
      <c r="M160" s="617">
        <v>6.2296018482718818E-2</v>
      </c>
      <c r="O160" s="375">
        <v>2016</v>
      </c>
      <c r="P160" s="375">
        <f t="shared" si="306"/>
        <v>2016.4615384615392</v>
      </c>
      <c r="CI160" s="121"/>
    </row>
    <row r="161" spans="1:87" ht="14.25" x14ac:dyDescent="0.65">
      <c r="A161" s="1161"/>
      <c r="B161" s="541" t="s">
        <v>319</v>
      </c>
      <c r="C161" s="608">
        <v>44200.096774193546</v>
      </c>
      <c r="D161" s="609">
        <v>56313.548387096773</v>
      </c>
      <c r="E161" s="610">
        <v>57270.741935483871</v>
      </c>
      <c r="F161" s="611">
        <v>157784.38709677418</v>
      </c>
      <c r="G161" s="612">
        <v>1180250.3826174927</v>
      </c>
      <c r="H161" s="1163"/>
      <c r="I161" s="613">
        <v>8.1175576627026749E-2</v>
      </c>
      <c r="J161" s="614">
        <v>0.11677477961591107</v>
      </c>
      <c r="K161" s="615">
        <v>7.6809172514336665E-2</v>
      </c>
      <c r="L161" s="616">
        <v>9.1991834476374823E-2</v>
      </c>
      <c r="M161" s="617">
        <v>6.6172101445729492E-2</v>
      </c>
      <c r="O161" s="375">
        <v>2016</v>
      </c>
      <c r="P161" s="375">
        <f t="shared" si="306"/>
        <v>2016.5384615384623</v>
      </c>
      <c r="CI161" s="121"/>
    </row>
    <row r="162" spans="1:87" ht="14.25" x14ac:dyDescent="0.65">
      <c r="A162" s="1161"/>
      <c r="B162" s="532" t="s">
        <v>321</v>
      </c>
      <c r="C162" s="582">
        <v>46498.1</v>
      </c>
      <c r="D162" s="583">
        <v>57810.833333333336</v>
      </c>
      <c r="E162" s="584">
        <v>56692.76666666667</v>
      </c>
      <c r="F162" s="585">
        <v>161001.70000000001</v>
      </c>
      <c r="G162" s="586">
        <v>1341252.0826174926</v>
      </c>
      <c r="H162" s="1163"/>
      <c r="I162" s="587">
        <v>6.3424626413955063E-2</v>
      </c>
      <c r="J162" s="588">
        <v>9.7825522762001349E-2</v>
      </c>
      <c r="K162" s="589">
        <v>7.8026842977542657E-2</v>
      </c>
      <c r="L162" s="590">
        <v>8.0739447700058697E-2</v>
      </c>
      <c r="M162" s="591">
        <v>6.7899967470287592E-2</v>
      </c>
      <c r="O162" s="375">
        <v>2016</v>
      </c>
      <c r="P162" s="375">
        <f t="shared" si="306"/>
        <v>2016.6153846153854</v>
      </c>
      <c r="CI162" s="121"/>
    </row>
    <row r="163" spans="1:87" ht="14.25" x14ac:dyDescent="0.65">
      <c r="A163" s="1161"/>
      <c r="B163" s="541" t="s">
        <v>323</v>
      </c>
      <c r="C163" s="582">
        <v>44845.129032258068</v>
      </c>
      <c r="D163" s="583">
        <v>54877.838709677417</v>
      </c>
      <c r="E163" s="584">
        <v>53297.93548387097</v>
      </c>
      <c r="F163" s="585">
        <v>153020.90322580645</v>
      </c>
      <c r="G163" s="586">
        <v>1494272.9858432992</v>
      </c>
      <c r="H163" s="1163"/>
      <c r="I163" s="587">
        <v>3.6569253046257286E-2</v>
      </c>
      <c r="J163" s="588">
        <v>4.1843679323798857E-2</v>
      </c>
      <c r="K163" s="589">
        <v>5.018386562968332E-2</v>
      </c>
      <c r="L163" s="590">
        <v>4.3173615921811903E-2</v>
      </c>
      <c r="M163" s="591">
        <v>6.5314125697884862E-2</v>
      </c>
      <c r="O163" s="375">
        <v>2016</v>
      </c>
      <c r="P163" s="375">
        <f t="shared" si="306"/>
        <v>2016.6923076923085</v>
      </c>
      <c r="CI163" s="121"/>
    </row>
    <row r="164" spans="1:87" ht="14.25" x14ac:dyDescent="0.65">
      <c r="A164" s="1161"/>
      <c r="B164" s="532" t="s">
        <v>326</v>
      </c>
      <c r="C164" s="582">
        <v>45747.76666666667</v>
      </c>
      <c r="D164" s="583">
        <v>57078.166666666664</v>
      </c>
      <c r="E164" s="584">
        <v>53268.533333333333</v>
      </c>
      <c r="F164" s="585">
        <v>156094.46666666667</v>
      </c>
      <c r="G164" s="586">
        <v>1650367.4525099657</v>
      </c>
      <c r="H164" s="1163"/>
      <c r="I164" s="587">
        <v>7.4498268975117451E-2</v>
      </c>
      <c r="J164" s="588">
        <v>0.10593668883907149</v>
      </c>
      <c r="K164" s="589">
        <v>8.3386664641884781E-2</v>
      </c>
      <c r="L164" s="590">
        <v>8.886530075069965E-2</v>
      </c>
      <c r="M164" s="591">
        <v>6.7497922969308233E-2</v>
      </c>
      <c r="O164" s="375">
        <v>2016</v>
      </c>
      <c r="P164" s="375">
        <f t="shared" si="306"/>
        <v>2016.7692307692316</v>
      </c>
      <c r="CI164" s="121"/>
    </row>
    <row r="165" spans="1:87" ht="15" thickBot="1" x14ac:dyDescent="0.8">
      <c r="A165" s="1162"/>
      <c r="B165" s="541" t="s">
        <v>327</v>
      </c>
      <c r="C165" s="582">
        <v>45044.129032258068</v>
      </c>
      <c r="D165" s="583">
        <v>56658.225806451614</v>
      </c>
      <c r="E165" s="584">
        <v>51741.354838709674</v>
      </c>
      <c r="F165" s="585">
        <v>153443.70967741936</v>
      </c>
      <c r="G165" s="586">
        <v>1803811.1621873851</v>
      </c>
      <c r="H165" s="1163"/>
      <c r="I165" s="606">
        <v>0.12203043629535054</v>
      </c>
      <c r="J165" s="594">
        <v>0.11734151849613543</v>
      </c>
      <c r="K165" s="595">
        <v>0.13178372245303455</v>
      </c>
      <c r="L165" s="596">
        <v>0.12355435607004517</v>
      </c>
      <c r="M165" s="597">
        <v>7.2047840846281241E-2</v>
      </c>
      <c r="O165" s="375">
        <v>2016</v>
      </c>
      <c r="P165" s="375">
        <f t="shared" si="306"/>
        <v>2016.8461538461547</v>
      </c>
      <c r="CI165" s="121"/>
    </row>
    <row r="166" spans="1:87" ht="16.25" thickBot="1" x14ac:dyDescent="0.8">
      <c r="A166" s="1215" t="s">
        <v>356</v>
      </c>
      <c r="B166" s="1216"/>
      <c r="C166" s="356">
        <v>43300</v>
      </c>
      <c r="D166" s="356">
        <v>54200</v>
      </c>
      <c r="E166" s="356">
        <v>52800</v>
      </c>
      <c r="F166" s="356">
        <v>150300</v>
      </c>
      <c r="G166" s="618"/>
      <c r="H166" s="1164"/>
      <c r="I166" s="371">
        <v>5.7257966060310084E-2</v>
      </c>
      <c r="J166" s="371">
        <v>7.9143852663016379E-2</v>
      </c>
      <c r="K166" s="372">
        <v>7.6781890486387283E-2</v>
      </c>
      <c r="L166" s="373"/>
      <c r="M166" s="372">
        <v>7.2047840846281241E-2</v>
      </c>
      <c r="P166" s="375">
        <f t="shared" si="306"/>
        <v>2016.9230769230778</v>
      </c>
      <c r="CI166" s="121"/>
    </row>
    <row r="167" spans="1:87" ht="14.25" x14ac:dyDescent="0.65">
      <c r="A167" s="1161">
        <v>2017</v>
      </c>
      <c r="B167" s="532" t="s">
        <v>295</v>
      </c>
      <c r="C167" s="582">
        <v>43322.645161290326</v>
      </c>
      <c r="D167" s="583">
        <v>53340.451612903227</v>
      </c>
      <c r="E167" s="584">
        <v>49643.838709677417</v>
      </c>
      <c r="F167" s="604">
        <v>146306.93548387097</v>
      </c>
      <c r="G167" s="605">
        <v>146306.93548387097</v>
      </c>
      <c r="H167" s="1165" t="s">
        <v>358</v>
      </c>
      <c r="I167" s="577">
        <v>9.3792350794891913E-2</v>
      </c>
      <c r="J167" s="578">
        <v>9.8067835598681388E-2</v>
      </c>
      <c r="K167" s="579">
        <v>8.5755064346282578E-2</v>
      </c>
      <c r="L167" s="580">
        <v>9.2598994248547228E-2</v>
      </c>
      <c r="M167" s="581">
        <v>9.2598994248547228E-2</v>
      </c>
      <c r="O167" s="375">
        <v>2017</v>
      </c>
      <c r="P167" s="375">
        <f t="shared" si="306"/>
        <v>2017.0000000000009</v>
      </c>
      <c r="CI167" s="121"/>
    </row>
    <row r="168" spans="1:87" ht="14.25" x14ac:dyDescent="0.65">
      <c r="A168" s="1161"/>
      <c r="B168" s="541" t="s">
        <v>299</v>
      </c>
      <c r="C168" s="582">
        <v>44620.678571428572</v>
      </c>
      <c r="D168" s="583">
        <v>54880.107142857145</v>
      </c>
      <c r="E168" s="584">
        <v>51641.499946411874</v>
      </c>
      <c r="F168" s="585">
        <v>151142.28566069758</v>
      </c>
      <c r="G168" s="586">
        <v>297449.22114456852</v>
      </c>
      <c r="H168" s="1163"/>
      <c r="I168" s="587">
        <v>5.798882208485056E-2</v>
      </c>
      <c r="J168" s="588">
        <v>8.059873544479236E-2</v>
      </c>
      <c r="K168" s="589">
        <v>5.5380198451284224E-2</v>
      </c>
      <c r="L168" s="590">
        <v>6.5181826417116451E-2</v>
      </c>
      <c r="M168" s="591">
        <v>7.8493461024362166E-2</v>
      </c>
      <c r="O168" s="375">
        <v>2017</v>
      </c>
      <c r="P168" s="375">
        <f t="shared" si="306"/>
        <v>2017.076923076924</v>
      </c>
      <c r="CI168" s="121"/>
    </row>
    <row r="169" spans="1:87" ht="14.25" x14ac:dyDescent="0.65">
      <c r="A169" s="1161"/>
      <c r="B169" s="532" t="s">
        <v>303</v>
      </c>
      <c r="C169" s="582">
        <v>47551.225806451614</v>
      </c>
      <c r="D169" s="583">
        <v>59029.903225806454</v>
      </c>
      <c r="E169" s="584">
        <v>56354.548387096773</v>
      </c>
      <c r="F169" s="585">
        <v>162935.67741935485</v>
      </c>
      <c r="G169" s="586">
        <v>460384.89856392337</v>
      </c>
      <c r="H169" s="1163"/>
      <c r="I169" s="587">
        <v>0.14258076067772535</v>
      </c>
      <c r="J169" s="588">
        <v>0.16307539571564414</v>
      </c>
      <c r="K169" s="589">
        <v>0.13151555858100608</v>
      </c>
      <c r="L169" s="590">
        <v>0.14602069686869656</v>
      </c>
      <c r="M169" s="591">
        <v>0.10146296042185421</v>
      </c>
      <c r="O169" s="375">
        <v>2017</v>
      </c>
      <c r="P169" s="375">
        <f t="shared" si="306"/>
        <v>2017.1538461538471</v>
      </c>
      <c r="CI169" s="121"/>
    </row>
    <row r="170" spans="1:87" ht="14.25" x14ac:dyDescent="0.65">
      <c r="A170" s="1161"/>
      <c r="B170" s="541" t="s">
        <v>306</v>
      </c>
      <c r="C170" s="582">
        <v>42659.833333333336</v>
      </c>
      <c r="D170" s="583">
        <v>54475.633333333331</v>
      </c>
      <c r="E170" s="584">
        <v>63080.616666666669</v>
      </c>
      <c r="F170" s="585">
        <v>160216.08333333334</v>
      </c>
      <c r="G170" s="586">
        <v>620600.98189725669</v>
      </c>
      <c r="H170" s="1163"/>
      <c r="I170" s="587">
        <v>-4.3523655281529287E-2</v>
      </c>
      <c r="J170" s="588">
        <v>2.7894310873688264E-3</v>
      </c>
      <c r="K170" s="589">
        <v>0.17739558213442239</v>
      </c>
      <c r="L170" s="590">
        <v>5.0586704483408518E-2</v>
      </c>
      <c r="M170" s="591">
        <v>8.7862583795647042E-2</v>
      </c>
      <c r="O170" s="375">
        <v>2017</v>
      </c>
      <c r="P170" s="375">
        <f t="shared" si="306"/>
        <v>2017.2307692307702</v>
      </c>
      <c r="CI170" s="121"/>
    </row>
    <row r="171" spans="1:87" ht="14.25" x14ac:dyDescent="0.65">
      <c r="A171" s="1161"/>
      <c r="B171" s="532" t="s">
        <v>310</v>
      </c>
      <c r="C171" s="582">
        <v>46689</v>
      </c>
      <c r="D171" s="583">
        <v>61210.482180166997</v>
      </c>
      <c r="E171" s="584">
        <v>58165.885569130776</v>
      </c>
      <c r="F171" s="585">
        <v>166065.36774929776</v>
      </c>
      <c r="G171" s="586">
        <v>786666.34964655444</v>
      </c>
      <c r="H171" s="1163"/>
      <c r="I171" s="587">
        <v>7.0433628868358161E-2</v>
      </c>
      <c r="J171" s="588">
        <v>0.10563493351721123</v>
      </c>
      <c r="K171" s="589">
        <v>6.5401515275028285E-2</v>
      </c>
      <c r="L171" s="590">
        <v>8.1334498557619428E-2</v>
      </c>
      <c r="M171" s="591">
        <v>8.647794921923535E-2</v>
      </c>
      <c r="O171" s="375">
        <v>2017</v>
      </c>
      <c r="P171" s="375">
        <f t="shared" si="306"/>
        <v>2017.3076923076933</v>
      </c>
      <c r="CI171" s="121"/>
    </row>
    <row r="172" spans="1:87" ht="14.25" x14ac:dyDescent="0.65">
      <c r="A172" s="1161"/>
      <c r="B172" s="541" t="s">
        <v>314</v>
      </c>
      <c r="C172" s="582">
        <v>46568.26666666667</v>
      </c>
      <c r="D172" s="583">
        <v>62428.354623662672</v>
      </c>
      <c r="E172" s="584">
        <v>59982.778287697103</v>
      </c>
      <c r="F172" s="585">
        <v>168979.39957802644</v>
      </c>
      <c r="G172" s="586">
        <v>955645.74922458082</v>
      </c>
      <c r="H172" s="1163"/>
      <c r="I172" s="587">
        <v>9.9455170606442406E-2</v>
      </c>
      <c r="J172" s="588">
        <v>0.12459611512620143</v>
      </c>
      <c r="K172" s="589">
        <v>9.0546398576375683E-2</v>
      </c>
      <c r="L172" s="590">
        <v>0.10537924959819756</v>
      </c>
      <c r="M172" s="591">
        <v>8.9772932561707153E-2</v>
      </c>
      <c r="O172" s="375">
        <v>2017</v>
      </c>
      <c r="P172" s="375">
        <f t="shared" si="306"/>
        <v>2017.3846153846164</v>
      </c>
      <c r="CI172" s="121"/>
    </row>
    <row r="173" spans="1:87" ht="14.25" x14ac:dyDescent="0.65">
      <c r="A173" s="1161"/>
      <c r="B173" s="532" t="s">
        <v>316</v>
      </c>
      <c r="C173" s="582">
        <v>41982.516129032258</v>
      </c>
      <c r="D173" s="583">
        <v>59796.509359393349</v>
      </c>
      <c r="E173" s="584">
        <v>57596.083340171128</v>
      </c>
      <c r="F173" s="585">
        <v>159375.10882859671</v>
      </c>
      <c r="G173" s="586">
        <v>1115020.8580531776</v>
      </c>
      <c r="H173" s="1163"/>
      <c r="I173" s="587">
        <v>7.5278536285108694E-2</v>
      </c>
      <c r="J173" s="588">
        <v>0.13963725360849463</v>
      </c>
      <c r="K173" s="589">
        <v>6.5983456040001512E-2</v>
      </c>
      <c r="L173" s="590">
        <v>9.502970138226563E-2</v>
      </c>
      <c r="M173" s="591">
        <v>9.0521213358614627E-2</v>
      </c>
      <c r="O173" s="375">
        <v>2017</v>
      </c>
      <c r="P173" s="375">
        <f t="shared" si="306"/>
        <v>2017.4615384615395</v>
      </c>
      <c r="CI173" s="121"/>
    </row>
    <row r="174" spans="1:87" ht="14.25" x14ac:dyDescent="0.65">
      <c r="A174" s="1161"/>
      <c r="B174" s="541" t="s">
        <v>319</v>
      </c>
      <c r="C174" s="582">
        <v>45948.580645161288</v>
      </c>
      <c r="D174" s="583">
        <v>62799.193548387098</v>
      </c>
      <c r="E174" s="584">
        <v>59244.419354838712</v>
      </c>
      <c r="F174" s="585">
        <v>167992.19354838709</v>
      </c>
      <c r="G174" s="586">
        <v>1283013.0516015647</v>
      </c>
      <c r="H174" s="1163"/>
      <c r="I174" s="587">
        <v>3.9558372007651436E-2</v>
      </c>
      <c r="J174" s="588">
        <v>0.11517024494191513</v>
      </c>
      <c r="K174" s="589">
        <v>3.4462228926215248E-2</v>
      </c>
      <c r="L174" s="590">
        <v>6.4694654771844773E-2</v>
      </c>
      <c r="M174" s="591">
        <v>8.7068532658443942E-2</v>
      </c>
      <c r="O174" s="375">
        <v>2017</v>
      </c>
      <c r="P174" s="375">
        <f t="shared" si="306"/>
        <v>2017.5384615384626</v>
      </c>
      <c r="CI174" s="121"/>
    </row>
    <row r="175" spans="1:87" ht="14.25" x14ac:dyDescent="0.65">
      <c r="A175" s="1161"/>
      <c r="B175" s="532" t="s">
        <v>321</v>
      </c>
      <c r="C175" s="582">
        <v>47964.666666666664</v>
      </c>
      <c r="D175" s="583">
        <v>65386.366666666669</v>
      </c>
      <c r="E175" s="584">
        <v>59174.8</v>
      </c>
      <c r="F175" s="585">
        <v>172525.83333333331</v>
      </c>
      <c r="G175" s="586">
        <v>1455538.884934898</v>
      </c>
      <c r="H175" s="1163"/>
      <c r="I175" s="587">
        <v>3.1540356846122011E-2</v>
      </c>
      <c r="J175" s="588">
        <v>0.13104002998284633</v>
      </c>
      <c r="K175" s="589">
        <v>4.3780423487299665E-2</v>
      </c>
      <c r="L175" s="590">
        <v>7.1577712119395676E-2</v>
      </c>
      <c r="M175" s="591">
        <v>8.5209039969855072E-2</v>
      </c>
      <c r="O175" s="375">
        <v>2017</v>
      </c>
      <c r="P175" s="375">
        <f t="shared" si="306"/>
        <v>2017.6153846153857</v>
      </c>
      <c r="CI175" s="121"/>
    </row>
    <row r="176" spans="1:87" ht="14.25" x14ac:dyDescent="0.65">
      <c r="A176" s="1161"/>
      <c r="B176" s="541" t="s">
        <v>323</v>
      </c>
      <c r="C176" s="582">
        <v>47530.290322580644</v>
      </c>
      <c r="D176" s="583">
        <v>62012.258064516129</v>
      </c>
      <c r="E176" s="584">
        <v>57318.258064516129</v>
      </c>
      <c r="F176" s="585">
        <v>166860.80645161291</v>
      </c>
      <c r="G176" s="586">
        <v>1622399.6913865109</v>
      </c>
      <c r="H176" s="1163"/>
      <c r="I176" s="587">
        <v>5.9876319864997633E-2</v>
      </c>
      <c r="J176" s="588">
        <v>0.13000547256575165</v>
      </c>
      <c r="K176" s="589">
        <v>7.5431112746605161E-2</v>
      </c>
      <c r="L176" s="590">
        <v>9.044452708126749E-2</v>
      </c>
      <c r="M176" s="591">
        <v>8.5745179600434707E-2</v>
      </c>
      <c r="O176" s="375">
        <v>2017</v>
      </c>
      <c r="P176" s="375">
        <f t="shared" si="306"/>
        <v>2017.6923076923088</v>
      </c>
      <c r="CI176" s="121"/>
    </row>
    <row r="177" spans="1:87" ht="14.25" x14ac:dyDescent="0.65">
      <c r="A177" s="1161"/>
      <c r="B177" s="532" t="s">
        <v>326</v>
      </c>
      <c r="C177" s="582">
        <v>47185.666666666664</v>
      </c>
      <c r="D177" s="583">
        <v>62238.633333333331</v>
      </c>
      <c r="E177" s="584">
        <v>55233</v>
      </c>
      <c r="F177" s="585">
        <v>164657.29999999999</v>
      </c>
      <c r="G177" s="586">
        <v>1787056.9913865109</v>
      </c>
      <c r="H177" s="1163"/>
      <c r="I177" s="587">
        <v>3.1431042535409612E-2</v>
      </c>
      <c r="J177" s="588">
        <v>9.0410518908280765E-2</v>
      </c>
      <c r="K177" s="589">
        <v>3.6878557447298475E-2</v>
      </c>
      <c r="L177" s="590">
        <v>5.485673846222161E-2</v>
      </c>
      <c r="M177" s="591">
        <v>8.2823700060650429E-2</v>
      </c>
      <c r="O177" s="375">
        <v>2017</v>
      </c>
      <c r="P177" s="375">
        <f t="shared" si="306"/>
        <v>2017.7692307692319</v>
      </c>
      <c r="CI177" s="121"/>
    </row>
    <row r="178" spans="1:87" ht="15" thickBot="1" x14ac:dyDescent="0.8">
      <c r="A178" s="1162"/>
      <c r="B178" s="541" t="s">
        <v>327</v>
      </c>
      <c r="C178" s="582">
        <v>46341.612903225803</v>
      </c>
      <c r="D178" s="583">
        <v>61376.322580645159</v>
      </c>
      <c r="E178" s="584">
        <v>53390.354838709674</v>
      </c>
      <c r="F178" s="585">
        <v>161108.29032258064</v>
      </c>
      <c r="G178" s="586">
        <v>1948165.2817090915</v>
      </c>
      <c r="H178" s="1163"/>
      <c r="I178" s="606">
        <v>2.8804727693559136E-2</v>
      </c>
      <c r="J178" s="594">
        <v>8.3272935342361187E-2</v>
      </c>
      <c r="K178" s="595">
        <v>3.1870058392176472E-2</v>
      </c>
      <c r="L178" s="596">
        <v>4.9950438902150562E-2</v>
      </c>
      <c r="M178" s="597">
        <v>8.0027290299421239E-2</v>
      </c>
      <c r="O178" s="375">
        <v>2017</v>
      </c>
      <c r="P178" s="375">
        <f t="shared" si="306"/>
        <v>2017.8461538461549</v>
      </c>
      <c r="CI178" s="121"/>
    </row>
    <row r="179" spans="1:87" ht="16.25" thickBot="1" x14ac:dyDescent="0.8">
      <c r="A179" s="1215" t="s">
        <v>356</v>
      </c>
      <c r="B179" s="1216"/>
      <c r="C179" s="356">
        <v>45697.081906041996</v>
      </c>
      <c r="D179" s="356">
        <v>59914.517972639296</v>
      </c>
      <c r="E179" s="356">
        <v>56735.506930409698</v>
      </c>
      <c r="F179" s="356">
        <v>162347.10680909097</v>
      </c>
      <c r="G179" s="618"/>
      <c r="H179" s="1164"/>
      <c r="I179" s="371">
        <v>5.5862916450791777E-2</v>
      </c>
      <c r="J179" s="371">
        <v>0.10522443568760109</v>
      </c>
      <c r="K179" s="372">
        <v>7.3967520472651538E-2</v>
      </c>
      <c r="L179" s="373"/>
      <c r="M179" s="372">
        <v>8.0027290299421239E-2</v>
      </c>
      <c r="N179" s="32">
        <f>AVERAGE(C167:C178)</f>
        <v>45697.081906041996</v>
      </c>
      <c r="P179" s="375">
        <f t="shared" si="306"/>
        <v>2017.923076923078</v>
      </c>
      <c r="CI179" s="121"/>
    </row>
    <row r="180" spans="1:87" ht="14.25" x14ac:dyDescent="0.65">
      <c r="A180" s="1161">
        <v>2018</v>
      </c>
      <c r="B180" s="532" t="s">
        <v>295</v>
      </c>
      <c r="C180" s="582">
        <v>44341</v>
      </c>
      <c r="D180" s="583">
        <v>57672.709677419356</v>
      </c>
      <c r="E180" s="584">
        <v>51027.516129032258</v>
      </c>
      <c r="F180" s="604">
        <v>153041.22580645164</v>
      </c>
      <c r="G180" s="605">
        <v>153041.22580645164</v>
      </c>
      <c r="H180" s="1165" t="s">
        <v>359</v>
      </c>
      <c r="I180" s="577">
        <v>2.3506294108273779E-2</v>
      </c>
      <c r="J180" s="578">
        <v>8.1218998593332897E-2</v>
      </c>
      <c r="K180" s="579">
        <v>2.7872087560487362E-2</v>
      </c>
      <c r="L180" s="580">
        <v>4.6028510544006807E-2</v>
      </c>
      <c r="M180" s="581">
        <v>4.6028510544006807E-2</v>
      </c>
      <c r="O180" s="375">
        <v>2018</v>
      </c>
      <c r="P180" s="375">
        <f t="shared" ref="P180:P242" si="307">P179+$P$97</f>
        <v>2018.0000000000011</v>
      </c>
      <c r="CI180" s="121"/>
    </row>
    <row r="181" spans="1:87" ht="14.25" x14ac:dyDescent="0.65">
      <c r="A181" s="1161"/>
      <c r="B181" s="541" t="s">
        <v>299</v>
      </c>
      <c r="C181" s="582">
        <v>44942.607142857145</v>
      </c>
      <c r="D181" s="583">
        <v>57856.382854565039</v>
      </c>
      <c r="E181" s="584">
        <v>51341.142857142855</v>
      </c>
      <c r="F181" s="585">
        <v>154140.13285456505</v>
      </c>
      <c r="G181" s="586">
        <v>307181.35866101668</v>
      </c>
      <c r="H181" s="1163"/>
      <c r="I181" s="587">
        <v>7.2147843048426686E-3</v>
      </c>
      <c r="J181" s="588">
        <v>5.4232323270805932E-2</v>
      </c>
      <c r="K181" s="589">
        <v>-5.8161960744884961E-3</v>
      </c>
      <c r="L181" s="590">
        <v>1.9834602743784124E-2</v>
      </c>
      <c r="M181" s="591">
        <v>3.2718651872744697E-2</v>
      </c>
      <c r="O181" s="375">
        <v>2018</v>
      </c>
      <c r="P181" s="375">
        <f t="shared" si="307"/>
        <v>2018.0769230769242</v>
      </c>
      <c r="CI181" s="121"/>
    </row>
    <row r="182" spans="1:87" ht="14.25" x14ac:dyDescent="0.65">
      <c r="A182" s="1161"/>
      <c r="B182" s="532" t="s">
        <v>303</v>
      </c>
      <c r="C182" s="582">
        <v>47113.774193548386</v>
      </c>
      <c r="D182" s="583">
        <v>62185.949659172125</v>
      </c>
      <c r="E182" s="584">
        <v>57596.806451612902</v>
      </c>
      <c r="F182" s="585">
        <v>166896.53030433343</v>
      </c>
      <c r="G182" s="586">
        <v>474077.88896535011</v>
      </c>
      <c r="H182" s="1163"/>
      <c r="I182" s="587">
        <v>-9.1995864561681823E-3</v>
      </c>
      <c r="J182" s="588">
        <v>5.34652144234911E-2</v>
      </c>
      <c r="K182" s="589">
        <v>2.2043616710103252E-2</v>
      </c>
      <c r="L182" s="590">
        <v>2.4309303816771655E-2</v>
      </c>
      <c r="M182" s="591">
        <v>2.97424838306799E-2</v>
      </c>
      <c r="O182" s="375">
        <v>2018</v>
      </c>
      <c r="P182" s="375">
        <f t="shared" si="307"/>
        <v>2018.1538461538473</v>
      </c>
      <c r="CI182" s="121"/>
    </row>
    <row r="183" spans="1:87" ht="14.25" x14ac:dyDescent="0.65">
      <c r="A183" s="1161"/>
      <c r="B183" s="541" t="s">
        <v>306</v>
      </c>
      <c r="C183" s="582">
        <v>47082.9</v>
      </c>
      <c r="D183" s="583">
        <v>62561.153648976149</v>
      </c>
      <c r="E183" s="584">
        <v>57285.966666666667</v>
      </c>
      <c r="F183" s="585">
        <v>166930.02031564282</v>
      </c>
      <c r="G183" s="586">
        <v>641007.90928099293</v>
      </c>
      <c r="H183" s="1163"/>
      <c r="I183" s="587">
        <v>0.10368223035720561</v>
      </c>
      <c r="J183" s="588">
        <v>0.14842453076530518</v>
      </c>
      <c r="K183" s="589">
        <v>-9.1861023341295825E-2</v>
      </c>
      <c r="L183" s="590">
        <v>4.1905511872618817E-2</v>
      </c>
      <c r="M183" s="591">
        <v>3.2882525131284313E-2</v>
      </c>
      <c r="O183" s="375">
        <v>2018</v>
      </c>
      <c r="P183" s="375">
        <f t="shared" si="307"/>
        <v>2018.2307692307704</v>
      </c>
      <c r="CI183" s="121"/>
    </row>
    <row r="184" spans="1:87" ht="14.25" x14ac:dyDescent="0.65">
      <c r="A184" s="1161"/>
      <c r="B184" s="532" t="s">
        <v>310</v>
      </c>
      <c r="C184" s="582">
        <v>47493.258064516129</v>
      </c>
      <c r="D184" s="583">
        <v>64262.548387096773</v>
      </c>
      <c r="E184" s="584">
        <v>58649</v>
      </c>
      <c r="F184" s="585">
        <v>170404.80645161291</v>
      </c>
      <c r="G184" s="586">
        <v>811412.7157326059</v>
      </c>
      <c r="H184" s="1163"/>
      <c r="I184" s="587">
        <v>1.722585757921842E-2</v>
      </c>
      <c r="J184" s="588">
        <v>4.9861822652308492E-2</v>
      </c>
      <c r="K184" s="589">
        <v>8.305803756654526E-3</v>
      </c>
      <c r="L184" s="590">
        <v>2.6130907130897052E-2</v>
      </c>
      <c r="M184" s="591">
        <v>3.1457257701654529E-2</v>
      </c>
      <c r="O184" s="375">
        <v>2018</v>
      </c>
      <c r="P184" s="375">
        <f t="shared" si="307"/>
        <v>2018.3076923076935</v>
      </c>
      <c r="CI184" s="121"/>
    </row>
    <row r="185" spans="1:87" ht="14.25" x14ac:dyDescent="0.65">
      <c r="A185" s="1161"/>
      <c r="B185" s="541" t="s">
        <v>314</v>
      </c>
      <c r="C185" s="582">
        <v>47208.633333333331</v>
      </c>
      <c r="D185" s="583">
        <v>65114</v>
      </c>
      <c r="E185" s="584">
        <v>60968.333333333336</v>
      </c>
      <c r="F185" s="585">
        <v>173290.96666666667</v>
      </c>
      <c r="G185" s="586">
        <v>984703.68239927257</v>
      </c>
      <c r="H185" s="1163"/>
      <c r="I185" s="587">
        <v>1.3751138114080432E-2</v>
      </c>
      <c r="J185" s="588">
        <v>4.3019640554796373E-2</v>
      </c>
      <c r="K185" s="589">
        <v>1.6430633487985284E-2</v>
      </c>
      <c r="L185" s="590">
        <v>2.5515341511492151E-2</v>
      </c>
      <c r="M185" s="591">
        <v>3.0406594910582285E-2</v>
      </c>
      <c r="O185" s="375">
        <v>2018</v>
      </c>
      <c r="P185" s="375">
        <f t="shared" si="307"/>
        <v>2018.3846153846166</v>
      </c>
      <c r="CI185" s="121"/>
    </row>
    <row r="186" spans="1:87" ht="14.25" x14ac:dyDescent="0.65">
      <c r="A186" s="1161"/>
      <c r="B186" s="532" t="s">
        <v>316</v>
      </c>
      <c r="C186" s="582">
        <v>43204.838709677417</v>
      </c>
      <c r="D186" s="583">
        <v>61430.645161290326</v>
      </c>
      <c r="E186" s="584">
        <v>58824.647880323762</v>
      </c>
      <c r="F186" s="585">
        <v>163460.13175129151</v>
      </c>
      <c r="G186" s="586">
        <v>1148163.8141505641</v>
      </c>
      <c r="H186" s="1163"/>
      <c r="I186" s="587">
        <v>2.9115038672012417E-2</v>
      </c>
      <c r="J186" s="588">
        <v>2.7328280854579227E-2</v>
      </c>
      <c r="K186" s="589">
        <v>2.1330695924175046E-2</v>
      </c>
      <c r="L186" s="590">
        <v>2.5631498875323899E-2</v>
      </c>
      <c r="M186" s="591">
        <v>2.9724068261157033E-2</v>
      </c>
      <c r="O186" s="375">
        <v>2018</v>
      </c>
      <c r="P186" s="375">
        <f t="shared" si="307"/>
        <v>2018.4615384615397</v>
      </c>
      <c r="CI186" s="121"/>
    </row>
    <row r="187" spans="1:87" ht="14.25" x14ac:dyDescent="0.65">
      <c r="A187" s="1161"/>
      <c r="B187" s="541" t="s">
        <v>319</v>
      </c>
      <c r="C187" s="582">
        <v>46837.903225806454</v>
      </c>
      <c r="D187" s="583">
        <v>63517.129032258068</v>
      </c>
      <c r="E187" s="584">
        <v>61645.838709677417</v>
      </c>
      <c r="F187" s="585">
        <v>172000.87096774194</v>
      </c>
      <c r="G187" s="586">
        <v>1320164.685118306</v>
      </c>
      <c r="H187" s="1163"/>
      <c r="I187" s="587">
        <v>1.935473453495714E-2</v>
      </c>
      <c r="J187" s="588">
        <v>1.1432240500314652E-2</v>
      </c>
      <c r="K187" s="589">
        <v>4.0534102300094056E-2</v>
      </c>
      <c r="L187" s="590">
        <v>2.386228392333134E-2</v>
      </c>
      <c r="M187" s="591">
        <v>2.8956551510029849E-2</v>
      </c>
      <c r="O187" s="375">
        <v>2018</v>
      </c>
      <c r="P187" s="375">
        <f t="shared" si="307"/>
        <v>2018.5384615384628</v>
      </c>
      <c r="CI187" s="121"/>
    </row>
    <row r="188" spans="1:87" ht="14.25" x14ac:dyDescent="0.65">
      <c r="A188" s="1161"/>
      <c r="B188" s="532" t="s">
        <v>321</v>
      </c>
      <c r="C188" s="582">
        <v>49113.5</v>
      </c>
      <c r="D188" s="583">
        <v>64878.033333333333</v>
      </c>
      <c r="E188" s="584">
        <v>61123.966666666667</v>
      </c>
      <c r="F188" s="585">
        <v>175115.5</v>
      </c>
      <c r="G188" s="586">
        <v>1495280.185118306</v>
      </c>
      <c r="H188" s="1163"/>
      <c r="I188" s="587">
        <v>2.3951658859994215E-2</v>
      </c>
      <c r="J188" s="588">
        <v>-7.7743015745892355E-3</v>
      </c>
      <c r="K188" s="589">
        <v>3.2939134000734505E-2</v>
      </c>
      <c r="L188" s="590">
        <v>1.5010312465283171E-2</v>
      </c>
      <c r="M188" s="591">
        <v>2.7303496041732656E-2</v>
      </c>
      <c r="O188" s="375">
        <v>2018</v>
      </c>
      <c r="P188" s="375">
        <f t="shared" si="307"/>
        <v>2018.6153846153859</v>
      </c>
      <c r="CI188" s="121"/>
    </row>
    <row r="189" spans="1:87" ht="14.25" x14ac:dyDescent="0.65">
      <c r="A189" s="1161"/>
      <c r="B189" s="541" t="s">
        <v>323</v>
      </c>
      <c r="C189" s="582">
        <v>49354.387096774197</v>
      </c>
      <c r="D189" s="583">
        <v>64632.096774193546</v>
      </c>
      <c r="E189" s="584">
        <v>59720.096774193546</v>
      </c>
      <c r="F189" s="585">
        <v>173706.58064516127</v>
      </c>
      <c r="G189" s="586">
        <v>1668986.7657634672</v>
      </c>
      <c r="H189" s="1163"/>
      <c r="I189" s="587">
        <v>3.837756432400672E-2</v>
      </c>
      <c r="J189" s="588">
        <v>4.2247110352791807E-2</v>
      </c>
      <c r="K189" s="589">
        <v>4.1903553785147513E-2</v>
      </c>
      <c r="L189" s="590">
        <v>4.1026855491876901E-2</v>
      </c>
      <c r="M189" s="591">
        <v>2.8714918169851611E-2</v>
      </c>
      <c r="O189" s="375">
        <v>2018</v>
      </c>
      <c r="P189" s="375">
        <f t="shared" si="307"/>
        <v>2018.692307692309</v>
      </c>
      <c r="CI189" s="121"/>
    </row>
    <row r="190" spans="1:87" ht="14.25" x14ac:dyDescent="0.65">
      <c r="A190" s="1161"/>
      <c r="B190" s="532" t="s">
        <v>326</v>
      </c>
      <c r="C190" s="582">
        <v>48557.066666666666</v>
      </c>
      <c r="D190" s="583">
        <v>64891.366666666669</v>
      </c>
      <c r="E190" s="584">
        <v>58420.066666666666</v>
      </c>
      <c r="F190" s="585">
        <v>171868.5</v>
      </c>
      <c r="G190" s="586">
        <v>1840855.2657634672</v>
      </c>
      <c r="H190" s="1163"/>
      <c r="I190" s="587">
        <v>2.9063910650833264E-2</v>
      </c>
      <c r="J190" s="588">
        <v>4.2621972740404065E-2</v>
      </c>
      <c r="K190" s="589">
        <v>5.7702219084001694E-2</v>
      </c>
      <c r="L190" s="590">
        <v>4.3795203735273347E-2</v>
      </c>
      <c r="M190" s="591">
        <v>3.0104397697588992E-2</v>
      </c>
      <c r="O190" s="375">
        <v>2018</v>
      </c>
      <c r="P190" s="375">
        <f t="shared" si="307"/>
        <v>2018.7692307692321</v>
      </c>
      <c r="CI190" s="121"/>
    </row>
    <row r="191" spans="1:87" ht="15" thickBot="1" x14ac:dyDescent="0.8">
      <c r="A191" s="1162"/>
      <c r="B191" s="541" t="s">
        <v>327</v>
      </c>
      <c r="C191" s="582">
        <v>45893.451612903227</v>
      </c>
      <c r="D191" s="583">
        <v>61448.193548387098</v>
      </c>
      <c r="E191" s="584">
        <v>54599.774193548386</v>
      </c>
      <c r="F191" s="585">
        <v>161941.41935483873</v>
      </c>
      <c r="G191" s="586">
        <v>2002796.685118306</v>
      </c>
      <c r="H191" s="1163"/>
      <c r="I191" s="606">
        <v>-9.6708177002484044E-3</v>
      </c>
      <c r="J191" s="594">
        <v>1.1709884971929474E-3</v>
      </c>
      <c r="K191" s="595">
        <v>2.2652394023083833E-2</v>
      </c>
      <c r="L191" s="596">
        <v>5.1712362572400306E-3</v>
      </c>
      <c r="M191" s="597">
        <v>2.8042488962377599E-2</v>
      </c>
      <c r="O191" s="375">
        <v>2018</v>
      </c>
      <c r="P191" s="375">
        <f t="shared" si="307"/>
        <v>2018.8461538461552</v>
      </c>
      <c r="CI191" s="121"/>
    </row>
    <row r="192" spans="1:87" ht="16.25" thickBot="1" x14ac:dyDescent="0.8">
      <c r="A192" s="1215" t="s">
        <v>356</v>
      </c>
      <c r="B192" s="1216"/>
      <c r="C192" s="356">
        <f>AVERAGE(C180:C191)</f>
        <v>46761.943337173579</v>
      </c>
      <c r="D192" s="356">
        <f t="shared" ref="D192:G192" si="308">AVERAGE(D180:D191)</f>
        <v>62537.517395279887</v>
      </c>
      <c r="E192" s="356">
        <f t="shared" si="308"/>
        <v>57600.263027405366</v>
      </c>
      <c r="F192" s="356">
        <f t="shared" si="308"/>
        <v>166899.72375985884</v>
      </c>
      <c r="G192" s="618">
        <f t="shared" si="308"/>
        <v>1070639.3484898421</v>
      </c>
      <c r="H192" s="1164"/>
      <c r="I192" s="371">
        <f>(C192-C179)/C179</f>
        <v>2.3302613355510319E-2</v>
      </c>
      <c r="J192" s="371">
        <f>(D192-D179)/D179</f>
        <v>4.3779029046656363E-2</v>
      </c>
      <c r="K192" s="371">
        <f>(E192-E179)/E179</f>
        <v>1.5241885439683404E-2</v>
      </c>
      <c r="L192" s="373">
        <f t="shared" ref="L192" si="309">(E192-E179)/E179</f>
        <v>1.5241885439683404E-2</v>
      </c>
      <c r="M192" s="372">
        <f>(F192-F179)/F179</f>
        <v>2.8042488962377606E-2</v>
      </c>
      <c r="O192" s="375"/>
      <c r="P192" s="375">
        <f t="shared" si="307"/>
        <v>2018.9230769230783</v>
      </c>
      <c r="CI192" s="121"/>
    </row>
    <row r="193" spans="1:87" ht="14.25" x14ac:dyDescent="0.65">
      <c r="A193" s="1161">
        <v>2019</v>
      </c>
      <c r="B193" s="532" t="s">
        <v>295</v>
      </c>
      <c r="C193" s="582">
        <v>44642.741935483871</v>
      </c>
      <c r="D193" s="583">
        <v>58065.774193548386</v>
      </c>
      <c r="E193" s="584">
        <v>52814.774193548386</v>
      </c>
      <c r="F193" s="604">
        <v>155523.29032258064</v>
      </c>
      <c r="G193" s="605">
        <v>155523.29032258064</v>
      </c>
      <c r="H193" s="1165" t="s">
        <v>359</v>
      </c>
      <c r="I193" s="619">
        <v>6.8050322609745206E-3</v>
      </c>
      <c r="J193" s="620">
        <v>6.8154334749928915E-3</v>
      </c>
      <c r="K193" s="621">
        <v>3.502537846437058E-2</v>
      </c>
      <c r="L193" s="622">
        <v>1.6218273886985379E-2</v>
      </c>
      <c r="M193" s="623">
        <v>1.6218273886985379E-2</v>
      </c>
      <c r="O193" s="375">
        <v>2019</v>
      </c>
      <c r="P193" s="375">
        <f t="shared" si="307"/>
        <v>2019.0000000000014</v>
      </c>
      <c r="CI193" s="121"/>
    </row>
    <row r="194" spans="1:87" ht="14.25" x14ac:dyDescent="0.65">
      <c r="A194" s="1161"/>
      <c r="B194" s="541" t="s">
        <v>299</v>
      </c>
      <c r="C194" s="582">
        <v>46672.785714285717</v>
      </c>
      <c r="D194" s="583">
        <v>61999.285714285717</v>
      </c>
      <c r="E194" s="584">
        <v>56348</v>
      </c>
      <c r="F194" s="585">
        <v>165020.07142857142</v>
      </c>
      <c r="G194" s="586">
        <v>320543.36175115209</v>
      </c>
      <c r="H194" s="1163"/>
      <c r="I194" s="587">
        <v>3.8497512303390137E-2</v>
      </c>
      <c r="J194" s="588">
        <v>7.1606669053867242E-2</v>
      </c>
      <c r="K194" s="589">
        <v>9.7521341836677947E-2</v>
      </c>
      <c r="L194" s="590">
        <v>7.058472295642737E-2</v>
      </c>
      <c r="M194" s="591">
        <v>4.3498743375507853E-2</v>
      </c>
      <c r="O194" s="375">
        <v>2019</v>
      </c>
      <c r="P194" s="375">
        <f t="shared" si="307"/>
        <v>2019.0769230769245</v>
      </c>
      <c r="CI194" s="121"/>
    </row>
    <row r="195" spans="1:87" ht="14.25" x14ac:dyDescent="0.65">
      <c r="A195" s="1161"/>
      <c r="B195" s="532" t="s">
        <v>303</v>
      </c>
      <c r="C195" s="582">
        <v>48267.870967741932</v>
      </c>
      <c r="D195" s="583">
        <v>63392.258064516129</v>
      </c>
      <c r="E195" s="584">
        <v>56616.741935483871</v>
      </c>
      <c r="F195" s="585">
        <v>168276.87096774194</v>
      </c>
      <c r="G195" s="586">
        <v>488820.23271889403</v>
      </c>
      <c r="H195" s="1163"/>
      <c r="I195" s="587">
        <v>2.4495952488382558E-2</v>
      </c>
      <c r="J195" s="588">
        <v>1.9398407710351315E-2</v>
      </c>
      <c r="K195" s="589">
        <v>-1.7015952385352875E-2</v>
      </c>
      <c r="L195" s="590">
        <v>8.2706372678418294E-3</v>
      </c>
      <c r="M195" s="591">
        <v>3.1096881117401054E-2</v>
      </c>
      <c r="O195" s="375">
        <v>2019</v>
      </c>
      <c r="P195" s="375">
        <f t="shared" si="307"/>
        <v>2019.1538461538476</v>
      </c>
      <c r="CI195" s="121"/>
    </row>
    <row r="196" spans="1:87" ht="14.25" x14ac:dyDescent="0.65">
      <c r="A196" s="1161"/>
      <c r="B196" s="541" t="s">
        <v>306</v>
      </c>
      <c r="C196" s="582">
        <v>44721.599999999999</v>
      </c>
      <c r="D196" s="583">
        <v>61176.3</v>
      </c>
      <c r="E196" s="584">
        <v>56750.2</v>
      </c>
      <c r="F196" s="585">
        <v>162648.09999999998</v>
      </c>
      <c r="G196" s="586">
        <v>651468.332718894</v>
      </c>
      <c r="H196" s="1163"/>
      <c r="I196" s="587">
        <v>-5.0151966000395107E-2</v>
      </c>
      <c r="J196" s="588">
        <v>-2.2135999229592376E-2</v>
      </c>
      <c r="K196" s="589">
        <v>-9.3524941245064098E-3</v>
      </c>
      <c r="L196" s="590">
        <v>-2.5650990202638724E-2</v>
      </c>
      <c r="M196" s="591">
        <v>1.6318711963529964E-2</v>
      </c>
      <c r="O196" s="375">
        <v>2019</v>
      </c>
      <c r="P196" s="375">
        <f t="shared" si="307"/>
        <v>2019.2307692307706</v>
      </c>
      <c r="CI196" s="121"/>
    </row>
    <row r="197" spans="1:87" ht="14.25" x14ac:dyDescent="0.65">
      <c r="A197" s="1161"/>
      <c r="B197" s="532" t="s">
        <v>310</v>
      </c>
      <c r="C197" s="582">
        <v>48394.677419354841</v>
      </c>
      <c r="D197" s="583">
        <v>67411.387096774197</v>
      </c>
      <c r="E197" s="584">
        <v>62668.322580645159</v>
      </c>
      <c r="F197" s="585">
        <v>178474.38709677418</v>
      </c>
      <c r="G197" s="586">
        <v>829942.71981566818</v>
      </c>
      <c r="H197" s="1163"/>
      <c r="I197" s="587">
        <v>1.8979943503016777E-2</v>
      </c>
      <c r="J197" s="588">
        <v>4.8999592899893106E-2</v>
      </c>
      <c r="K197" s="589">
        <v>6.853181777430406E-2</v>
      </c>
      <c r="L197" s="590">
        <v>4.7355358180302565E-2</v>
      </c>
      <c r="M197" s="591">
        <v>2.2836718877805584E-2</v>
      </c>
      <c r="O197" s="375">
        <v>2019</v>
      </c>
      <c r="P197" s="375">
        <f t="shared" si="307"/>
        <v>2019.3076923076937</v>
      </c>
      <c r="CI197" s="121"/>
    </row>
    <row r="198" spans="1:87" ht="14.25" x14ac:dyDescent="0.65">
      <c r="A198" s="1161"/>
      <c r="B198" s="541" t="s">
        <v>314</v>
      </c>
      <c r="C198" s="582">
        <v>44990.2</v>
      </c>
      <c r="D198" s="583">
        <v>64227.3</v>
      </c>
      <c r="E198" s="584">
        <v>61506.366666666669</v>
      </c>
      <c r="F198" s="585">
        <v>170723.86666666667</v>
      </c>
      <c r="G198" s="586">
        <v>1000666.5864823349</v>
      </c>
      <c r="H198" s="1163"/>
      <c r="I198" s="587">
        <v>-4.699211090626787E-2</v>
      </c>
      <c r="J198" s="588">
        <v>-1.3617655189360154E-2</v>
      </c>
      <c r="K198" s="589">
        <v>8.8247997594379513E-3</v>
      </c>
      <c r="L198" s="590">
        <v>-1.4813813145482357E-2</v>
      </c>
      <c r="M198" s="591">
        <v>1.6210870710027248E-2</v>
      </c>
      <c r="O198" s="375">
        <v>2019</v>
      </c>
      <c r="P198" s="375">
        <f t="shared" si="307"/>
        <v>2019.3846153846168</v>
      </c>
      <c r="CI198" s="121"/>
    </row>
    <row r="199" spans="1:87" ht="14.25" x14ac:dyDescent="0.65">
      <c r="A199" s="1161"/>
      <c r="B199" s="532" t="s">
        <v>316</v>
      </c>
      <c r="C199" s="582">
        <v>43749.258064516129</v>
      </c>
      <c r="D199" s="583">
        <v>62981.677419354841</v>
      </c>
      <c r="E199" s="584">
        <v>60408.806451612902</v>
      </c>
      <c r="F199" s="585">
        <v>167139.74193548388</v>
      </c>
      <c r="G199" s="586">
        <v>1167806.3284178188</v>
      </c>
      <c r="H199" s="1163"/>
      <c r="I199" s="587">
        <v>1.2600888490685835E-2</v>
      </c>
      <c r="J199" s="588">
        <v>2.5248509990285384E-2</v>
      </c>
      <c r="K199" s="589">
        <v>2.6930183662332196E-2</v>
      </c>
      <c r="L199" s="590">
        <v>2.2510750142982872E-2</v>
      </c>
      <c r="M199" s="591">
        <v>1.7107762869000176E-2</v>
      </c>
      <c r="O199" s="375">
        <v>2019</v>
      </c>
      <c r="P199" s="375">
        <f t="shared" si="307"/>
        <v>2019.4615384615399</v>
      </c>
      <c r="CI199" s="121"/>
    </row>
    <row r="200" spans="1:87" ht="14.25" x14ac:dyDescent="0.65">
      <c r="A200" s="1161"/>
      <c r="B200" s="541" t="s">
        <v>319</v>
      </c>
      <c r="C200" s="582">
        <v>46647.354838709674</v>
      </c>
      <c r="D200" s="583">
        <v>63398.516129032258</v>
      </c>
      <c r="E200" s="584">
        <v>62568.06451612903</v>
      </c>
      <c r="F200" s="585">
        <v>172613.93548387097</v>
      </c>
      <c r="G200" s="586">
        <v>1340420.2639016898</v>
      </c>
      <c r="H200" s="1163"/>
      <c r="I200" s="587">
        <v>-4.068251863840756E-3</v>
      </c>
      <c r="J200" s="588">
        <v>-1.8674160031000647E-3</v>
      </c>
      <c r="K200" s="589">
        <v>1.4960065849616526E-2</v>
      </c>
      <c r="L200" s="590">
        <v>3.564310533311188E-3</v>
      </c>
      <c r="M200" s="591">
        <v>1.5343221199382917E-2</v>
      </c>
      <c r="O200" s="375">
        <v>2019</v>
      </c>
      <c r="P200" s="375">
        <f t="shared" si="307"/>
        <v>2019.538461538463</v>
      </c>
      <c r="CI200" s="121"/>
    </row>
    <row r="201" spans="1:87" ht="14.25" x14ac:dyDescent="0.65">
      <c r="A201" s="1161"/>
      <c r="B201" s="532" t="s">
        <v>321</v>
      </c>
      <c r="C201" s="582">
        <v>48423.7</v>
      </c>
      <c r="D201" s="583">
        <v>64866.3</v>
      </c>
      <c r="E201" s="584">
        <v>62377.751281927784</v>
      </c>
      <c r="F201" s="585">
        <v>175667.75128192778</v>
      </c>
      <c r="G201" s="586">
        <v>1516088.0151836176</v>
      </c>
      <c r="H201" s="1163"/>
      <c r="I201" s="587">
        <v>-1.404501817219304E-2</v>
      </c>
      <c r="J201" s="588">
        <v>-1.8085217338580347E-4</v>
      </c>
      <c r="K201" s="589">
        <v>2.0512160509780119E-2</v>
      </c>
      <c r="L201" s="590">
        <v>3.1536402084781923E-3</v>
      </c>
      <c r="M201" s="591">
        <v>1.3915672977145244E-2</v>
      </c>
      <c r="O201" s="375">
        <v>2019</v>
      </c>
      <c r="P201" s="375">
        <f t="shared" si="307"/>
        <v>2019.6153846153861</v>
      </c>
      <c r="CI201" s="121"/>
    </row>
    <row r="202" spans="1:87" ht="14.25" x14ac:dyDescent="0.65">
      <c r="A202" s="1161"/>
      <c r="B202" s="541" t="s">
        <v>323</v>
      </c>
      <c r="C202" s="608">
        <v>48885.387096774197</v>
      </c>
      <c r="D202" s="609">
        <v>66077.548387096773</v>
      </c>
      <c r="E202" s="610">
        <v>61538.261715171757</v>
      </c>
      <c r="F202" s="611">
        <v>176501.19719904271</v>
      </c>
      <c r="G202" s="612">
        <v>1692589.2123826602</v>
      </c>
      <c r="H202" s="1163"/>
      <c r="I202" s="613">
        <v>-9.5027013319076113E-3</v>
      </c>
      <c r="J202" s="614">
        <v>2.2364300170443649E-2</v>
      </c>
      <c r="K202" s="615">
        <v>3.0444775530971392E-2</v>
      </c>
      <c r="L202" s="616">
        <v>1.6088144407091498E-2</v>
      </c>
      <c r="M202" s="617">
        <v>1.4141781770448114E-2</v>
      </c>
      <c r="O202" s="375">
        <v>2019</v>
      </c>
      <c r="P202" s="375">
        <f t="shared" si="307"/>
        <v>2019.6923076923092</v>
      </c>
      <c r="CI202" s="121"/>
    </row>
    <row r="203" spans="1:87" ht="14.25" x14ac:dyDescent="0.65">
      <c r="A203" s="1161"/>
      <c r="B203" s="532" t="s">
        <v>326</v>
      </c>
      <c r="C203" s="582">
        <v>47883.533333333333</v>
      </c>
      <c r="D203" s="583">
        <v>64801.866666666669</v>
      </c>
      <c r="E203" s="584">
        <v>59477.23333333333</v>
      </c>
      <c r="F203" s="585">
        <v>172162.63333333333</v>
      </c>
      <c r="G203" s="586">
        <v>1864751.8457159935</v>
      </c>
      <c r="H203" s="1163"/>
      <c r="I203" s="587">
        <v>-1.3870964198825839E-2</v>
      </c>
      <c r="J203" s="588">
        <v>-1.379228156185132E-3</v>
      </c>
      <c r="K203" s="589">
        <v>1.8095951048783424E-2</v>
      </c>
      <c r="L203" s="590">
        <v>1.7113859336255199E-3</v>
      </c>
      <c r="M203" s="591">
        <v>1.2981237795800071E-2</v>
      </c>
      <c r="O203" s="375">
        <v>2019</v>
      </c>
      <c r="P203" s="375">
        <f t="shared" si="307"/>
        <v>2019.7692307692323</v>
      </c>
      <c r="CI203" s="121"/>
    </row>
    <row r="204" spans="1:87" ht="15" thickBot="1" x14ac:dyDescent="0.8">
      <c r="A204" s="1162"/>
      <c r="B204" s="541" t="s">
        <v>327</v>
      </c>
      <c r="C204" s="582">
        <v>44881.161290322583</v>
      </c>
      <c r="D204" s="583">
        <v>60800.129032258068</v>
      </c>
      <c r="E204" s="584">
        <v>54568.806451612902</v>
      </c>
      <c r="F204" s="585">
        <v>160250.09677419355</v>
      </c>
      <c r="G204" s="586">
        <v>2025001.942490187</v>
      </c>
      <c r="H204" s="1163"/>
      <c r="I204" s="606">
        <v>-2.2057402243766566E-2</v>
      </c>
      <c r="J204" s="594">
        <v>-1.0546518598935134E-2</v>
      </c>
      <c r="K204" s="595">
        <v>-5.6717710636876621E-4</v>
      </c>
      <c r="L204" s="596">
        <v>-1.0444039501341096E-2</v>
      </c>
      <c r="M204" s="597">
        <v>1.1087125087072547E-2</v>
      </c>
      <c r="O204" s="375">
        <v>2019</v>
      </c>
      <c r="P204" s="375">
        <f t="shared" si="307"/>
        <v>2019.8461538461554</v>
      </c>
      <c r="CI204" s="121"/>
    </row>
    <row r="205" spans="1:87" ht="16.25" thickBot="1" x14ac:dyDescent="0.8">
      <c r="A205" s="1215" t="s">
        <v>356</v>
      </c>
      <c r="B205" s="1216"/>
      <c r="C205" s="624">
        <v>46510</v>
      </c>
      <c r="D205" s="624">
        <v>63270</v>
      </c>
      <c r="E205" s="624">
        <v>58970</v>
      </c>
      <c r="F205" s="624">
        <v>168750</v>
      </c>
      <c r="G205" s="618"/>
      <c r="H205" s="1164"/>
      <c r="I205" s="371">
        <v>-5.3464499572284385E-3</v>
      </c>
      <c r="J205" s="371">
        <v>1.1672529581068014E-2</v>
      </c>
      <c r="K205" s="372">
        <v>2.3784722222222276E-2</v>
      </c>
      <c r="L205" s="625"/>
      <c r="M205" s="372">
        <v>1.1087125087072547E-2</v>
      </c>
      <c r="P205" s="375">
        <f t="shared" si="307"/>
        <v>2019.9230769230785</v>
      </c>
    </row>
    <row r="206" spans="1:87" ht="14.25" customHeight="1" x14ac:dyDescent="0.65">
      <c r="A206" s="1168">
        <v>2020</v>
      </c>
      <c r="B206" s="739" t="s">
        <v>295</v>
      </c>
      <c r="C206" s="741">
        <v>43332.290322580644</v>
      </c>
      <c r="D206" s="742">
        <v>57700.516129032258</v>
      </c>
      <c r="E206" s="743">
        <v>52034.419354838712</v>
      </c>
      <c r="F206" s="746">
        <v>153067.22580645164</v>
      </c>
      <c r="G206" s="747">
        <v>153067.22580645164</v>
      </c>
      <c r="H206" s="1170" t="s">
        <v>359</v>
      </c>
      <c r="I206" s="458">
        <v>-2.9354191881785532E-2</v>
      </c>
      <c r="J206" s="459">
        <v>-6.2904192631381833E-3</v>
      </c>
      <c r="K206" s="460">
        <v>-1.4775313359287239E-2</v>
      </c>
      <c r="L206" s="461">
        <v>-1.5792261795868123E-2</v>
      </c>
      <c r="M206" s="462">
        <v>-1.5792261795868123E-2</v>
      </c>
      <c r="O206" s="375">
        <v>2020</v>
      </c>
      <c r="P206" s="375">
        <f t="shared" si="307"/>
        <v>2020.0000000000016</v>
      </c>
    </row>
    <row r="207" spans="1:87" ht="14.25" x14ac:dyDescent="0.65">
      <c r="A207" s="1168"/>
      <c r="B207" s="740" t="s">
        <v>299</v>
      </c>
      <c r="C207" s="741">
        <v>45272.517241379312</v>
      </c>
      <c r="D207" s="742">
        <v>61550.793103448275</v>
      </c>
      <c r="E207" s="743">
        <v>56757.310344827587</v>
      </c>
      <c r="F207" s="744">
        <v>163580.62068965519</v>
      </c>
      <c r="G207" s="745">
        <v>316647.84649610682</v>
      </c>
      <c r="H207" s="1171"/>
      <c r="I207" s="435">
        <v>-3.0001819078860088E-2</v>
      </c>
      <c r="J207" s="436">
        <v>-7.2338351268150421E-3</v>
      </c>
      <c r="K207" s="437">
        <v>7.2639728974868136E-3</v>
      </c>
      <c r="L207" s="438">
        <v>-8.7228827769554318E-3</v>
      </c>
      <c r="M207" s="439">
        <v>-1.2152849566947066E-2</v>
      </c>
      <c r="O207" s="375">
        <v>2020</v>
      </c>
      <c r="P207" s="375">
        <f t="shared" si="307"/>
        <v>2020.0769230769247</v>
      </c>
    </row>
    <row r="208" spans="1:87" ht="14.25" x14ac:dyDescent="0.65">
      <c r="A208" s="1168"/>
      <c r="B208" s="739" t="s">
        <v>303</v>
      </c>
      <c r="C208" s="741">
        <v>35126.774193548386</v>
      </c>
      <c r="D208" s="742">
        <v>51849.741935483871</v>
      </c>
      <c r="E208" s="743">
        <v>46524.032258064515</v>
      </c>
      <c r="F208" s="744">
        <v>133500.54838709679</v>
      </c>
      <c r="G208" s="745">
        <v>450148.39488320361</v>
      </c>
      <c r="H208" s="1171"/>
      <c r="I208" s="435">
        <v>-0.27225349928891451</v>
      </c>
      <c r="J208" s="436">
        <v>-0.18208084837875796</v>
      </c>
      <c r="K208" s="437">
        <v>-0.17826369607986697</v>
      </c>
      <c r="L208" s="438">
        <v>-0.20666133367378603</v>
      </c>
      <c r="M208" s="439">
        <v>-7.9112596507291966E-2</v>
      </c>
      <c r="O208" s="375">
        <v>2020</v>
      </c>
      <c r="P208" s="375">
        <f t="shared" si="307"/>
        <v>2020.1538461538478</v>
      </c>
    </row>
    <row r="209" spans="1:16" ht="14.25" x14ac:dyDescent="0.65">
      <c r="A209" s="1168"/>
      <c r="B209" s="740" t="s">
        <v>306</v>
      </c>
      <c r="C209" s="741">
        <v>28013.166666666668</v>
      </c>
      <c r="D209" s="742">
        <v>47126.400000000001</v>
      </c>
      <c r="E209" s="743">
        <v>42406.9</v>
      </c>
      <c r="F209" s="744">
        <v>117546.46666666667</v>
      </c>
      <c r="G209" s="745">
        <v>567694.86154987034</v>
      </c>
      <c r="H209" s="1171"/>
      <c r="I209" s="435">
        <v>-0.37360991854793502</v>
      </c>
      <c r="J209" s="436">
        <v>-0.22966246732803391</v>
      </c>
      <c r="K209" s="437">
        <v>-0.25274448371988112</v>
      </c>
      <c r="L209" s="438">
        <v>-0.27729578970386559</v>
      </c>
      <c r="M209" s="439">
        <v>-0.12859177792939869</v>
      </c>
      <c r="O209" s="375">
        <v>2020</v>
      </c>
      <c r="P209" s="375">
        <f t="shared" si="307"/>
        <v>2020.2307692307709</v>
      </c>
    </row>
    <row r="210" spans="1:16" ht="14.25" x14ac:dyDescent="0.65">
      <c r="A210" s="1168"/>
      <c r="B210" s="739" t="s">
        <v>310</v>
      </c>
      <c r="C210" s="741">
        <v>39763.387096774197</v>
      </c>
      <c r="D210" s="742">
        <v>63616.93548387097</v>
      </c>
      <c r="E210" s="743">
        <v>58081</v>
      </c>
      <c r="F210" s="744">
        <v>161461.32258064515</v>
      </c>
      <c r="G210" s="745">
        <v>729156.18413051544</v>
      </c>
      <c r="H210" s="1171"/>
      <c r="I210" s="435">
        <v>-1.5505598997114897E-2</v>
      </c>
      <c r="J210" s="436">
        <v>3.2133272507692656E-2</v>
      </c>
      <c r="K210" s="437">
        <v>1.2254015979917479E-2</v>
      </c>
      <c r="L210" s="438">
        <v>1.2417322631711691E-2</v>
      </c>
      <c r="M210" s="439">
        <v>-9.8600876340504406E-2</v>
      </c>
      <c r="O210" s="375">
        <v>2020</v>
      </c>
      <c r="P210" s="375">
        <f t="shared" si="307"/>
        <v>2020.307692307694</v>
      </c>
    </row>
    <row r="211" spans="1:16" ht="14.25" x14ac:dyDescent="0.65">
      <c r="A211" s="1168"/>
      <c r="B211" s="740" t="s">
        <v>314</v>
      </c>
      <c r="C211" s="741">
        <v>44292.6</v>
      </c>
      <c r="D211" s="742">
        <v>66291.133333333331</v>
      </c>
      <c r="E211" s="743">
        <v>62260.066666666666</v>
      </c>
      <c r="F211" s="744">
        <v>172843.8</v>
      </c>
      <c r="G211" s="745">
        <v>901999.98413051548</v>
      </c>
      <c r="H211" s="1171"/>
      <c r="I211" s="435">
        <v>-1.5505598997114897E-2</v>
      </c>
      <c r="J211" s="436">
        <v>3.2133272507692656E-2</v>
      </c>
      <c r="K211" s="437">
        <v>1.2254015979917479E-2</v>
      </c>
      <c r="L211" s="438">
        <v>1.2417322631711691E-2</v>
      </c>
      <c r="M211" s="439">
        <v>-9.8600876340504406E-2</v>
      </c>
      <c r="O211" s="375">
        <v>2020</v>
      </c>
      <c r="P211" s="375">
        <f t="shared" si="307"/>
        <v>2020.3846153846171</v>
      </c>
    </row>
    <row r="212" spans="1:16" ht="14.25" x14ac:dyDescent="0.65">
      <c r="A212" s="1168"/>
      <c r="B212" s="739" t="s">
        <v>316</v>
      </c>
      <c r="C212" s="741">
        <v>39867.677419354841</v>
      </c>
      <c r="D212" s="742">
        <v>62533.677419354841</v>
      </c>
      <c r="E212" s="743">
        <v>59020.225806451614</v>
      </c>
      <c r="F212" s="744">
        <v>161421.5806451613</v>
      </c>
      <c r="G212" s="745">
        <v>1063421.5647756767</v>
      </c>
      <c r="H212" s="1171"/>
      <c r="I212" s="435">
        <v>-8.8723347935117006E-2</v>
      </c>
      <c r="J212" s="436">
        <v>-7.1131798700287642E-3</v>
      </c>
      <c r="K212" s="437">
        <v>-2.2986394314437133E-2</v>
      </c>
      <c r="L212" s="438">
        <v>-3.4211859035475745E-2</v>
      </c>
      <c r="M212" s="439">
        <v>-8.9385338220906774E-2</v>
      </c>
      <c r="O212" s="375">
        <v>2020</v>
      </c>
      <c r="P212" s="375">
        <f t="shared" si="307"/>
        <v>2020.4615384615402</v>
      </c>
    </row>
    <row r="213" spans="1:16" ht="14.25" x14ac:dyDescent="0.65">
      <c r="A213" s="1168"/>
      <c r="B213" s="740" t="s">
        <v>319</v>
      </c>
      <c r="C213" s="741">
        <v>40612.612903225803</v>
      </c>
      <c r="D213" s="742">
        <v>61342.225806451614</v>
      </c>
      <c r="E213" s="743">
        <v>58116.096774193546</v>
      </c>
      <c r="F213" s="744">
        <v>160070.93548387097</v>
      </c>
      <c r="G213" s="745">
        <v>1223492.5002595477</v>
      </c>
      <c r="H213" s="1171"/>
      <c r="I213" s="435">
        <v>-0.12936943490900843</v>
      </c>
      <c r="J213" s="436">
        <v>-3.2434360425653577E-2</v>
      </c>
      <c r="K213" s="437">
        <v>-7.1153994875258447E-2</v>
      </c>
      <c r="L213" s="438">
        <v>-7.2665048536431853E-2</v>
      </c>
      <c r="M213" s="439">
        <v>-8.7232166501115982E-2</v>
      </c>
      <c r="O213" s="375">
        <v>2020</v>
      </c>
      <c r="P213" s="375">
        <f t="shared" si="307"/>
        <v>2020.5384615384633</v>
      </c>
    </row>
    <row r="214" spans="1:16" ht="14.25" x14ac:dyDescent="0.65">
      <c r="A214" s="1168"/>
      <c r="B214" s="739" t="s">
        <v>321</v>
      </c>
      <c r="C214" s="741">
        <v>44213.633333333331</v>
      </c>
      <c r="D214" s="742">
        <v>64904.866666666669</v>
      </c>
      <c r="E214" s="743">
        <v>58732.26666666667</v>
      </c>
      <c r="F214" s="744">
        <v>167850.76666666666</v>
      </c>
      <c r="G214" s="745">
        <v>1391343.2669262143</v>
      </c>
      <c r="H214" s="1171"/>
      <c r="I214" s="435">
        <v>-8.6942275511096137E-2</v>
      </c>
      <c r="J214" s="436">
        <v>5.9455628988651572E-4</v>
      </c>
      <c r="K214" s="437">
        <v>-5.8442065325257905E-2</v>
      </c>
      <c r="L214" s="438">
        <v>-4.4498688906854045E-2</v>
      </c>
      <c r="M214" s="439">
        <v>-8.2280676984505474E-2</v>
      </c>
      <c r="N214" s="32"/>
      <c r="O214" s="375">
        <v>2020</v>
      </c>
      <c r="P214" s="375">
        <f t="shared" si="307"/>
        <v>2020.6153846153863</v>
      </c>
    </row>
    <row r="215" spans="1:16" ht="14.25" x14ac:dyDescent="0.65">
      <c r="A215" s="1168"/>
      <c r="B215" s="740" t="s">
        <v>323</v>
      </c>
      <c r="C215" s="749">
        <v>35015.451612903227</v>
      </c>
      <c r="D215" s="750">
        <v>55922.645161290326</v>
      </c>
      <c r="E215" s="751">
        <v>50345.129032258068</v>
      </c>
      <c r="F215" s="752">
        <v>141283.22580645161</v>
      </c>
      <c r="G215" s="753">
        <v>1532626.492732666</v>
      </c>
      <c r="H215" s="1171"/>
      <c r="I215" s="453">
        <v>-0.2837235482336235</v>
      </c>
      <c r="J215" s="454">
        <v>-0.15368159796602618</v>
      </c>
      <c r="K215" s="455">
        <v>-0.18188899671428505</v>
      </c>
      <c r="L215" s="456">
        <v>-0.19953389524534126</v>
      </c>
      <c r="M215" s="457">
        <v>-9.4507703629290285E-2</v>
      </c>
      <c r="N215" s="32"/>
      <c r="O215" s="375">
        <v>2020</v>
      </c>
      <c r="P215" s="375">
        <f t="shared" si="307"/>
        <v>2020.6923076923094</v>
      </c>
    </row>
    <row r="216" spans="1:16" ht="14.25" x14ac:dyDescent="0.65">
      <c r="A216" s="1168"/>
      <c r="B216" s="739" t="s">
        <v>326</v>
      </c>
      <c r="C216" s="741">
        <v>34626.9</v>
      </c>
      <c r="D216" s="742">
        <v>54664.7</v>
      </c>
      <c r="E216" s="743">
        <v>48428.2</v>
      </c>
      <c r="F216" s="744">
        <v>137719.79999999999</v>
      </c>
      <c r="G216" s="745">
        <v>1670346.292732666</v>
      </c>
      <c r="H216" s="1171"/>
      <c r="I216" s="435">
        <v>-0.27685161078338688</v>
      </c>
      <c r="J216" s="436">
        <v>-0.15643325089400723</v>
      </c>
      <c r="K216" s="437">
        <v>-0.18576912062150391</v>
      </c>
      <c r="L216" s="438">
        <v>-0.20005986587488311</v>
      </c>
      <c r="M216" s="439">
        <v>-0.10425277413182188</v>
      </c>
      <c r="O216" s="375">
        <v>2020</v>
      </c>
      <c r="P216" s="375">
        <f t="shared" si="307"/>
        <v>2020.7692307692325</v>
      </c>
    </row>
    <row r="217" spans="1:16" ht="15" thickBot="1" x14ac:dyDescent="0.8">
      <c r="A217" s="1169"/>
      <c r="B217" s="740" t="s">
        <v>327</v>
      </c>
      <c r="C217" s="741">
        <v>38729.93548387097</v>
      </c>
      <c r="D217" s="742">
        <v>58926.419354838712</v>
      </c>
      <c r="E217" s="743">
        <v>50302.838709677417</v>
      </c>
      <c r="F217" s="744">
        <v>147959.19354838709</v>
      </c>
      <c r="G217" s="745">
        <v>1818305.4862810532</v>
      </c>
      <c r="H217" s="1171"/>
      <c r="I217" s="444">
        <v>-0.1370558521572382</v>
      </c>
      <c r="J217" s="440">
        <v>-3.081752797638377E-2</v>
      </c>
      <c r="K217" s="441">
        <v>-7.8175940053191229E-2</v>
      </c>
      <c r="L217" s="442">
        <v>-7.6698257743490927E-2</v>
      </c>
      <c r="M217" s="443">
        <v>-0.10207222614065981</v>
      </c>
      <c r="O217" s="375">
        <v>2020</v>
      </c>
      <c r="P217" s="375">
        <f t="shared" si="307"/>
        <v>2020.8461538461556</v>
      </c>
    </row>
    <row r="218" spans="1:16" ht="16.25" thickBot="1" x14ac:dyDescent="0.8">
      <c r="A218" s="1173" t="s">
        <v>356</v>
      </c>
      <c r="B218" s="1174"/>
      <c r="C218" s="754">
        <v>39100</v>
      </c>
      <c r="D218" s="754">
        <v>58900</v>
      </c>
      <c r="E218" s="754">
        <v>53600</v>
      </c>
      <c r="F218" s="754"/>
      <c r="G218" s="748"/>
      <c r="H218" s="1172"/>
      <c r="I218" s="428"/>
      <c r="J218" s="428"/>
      <c r="K218" s="429"/>
      <c r="L218" s="464"/>
      <c r="M218" s="429">
        <v>-0.10207222614065981</v>
      </c>
      <c r="P218" s="375">
        <f t="shared" si="307"/>
        <v>2020.9230769230787</v>
      </c>
    </row>
    <row r="219" spans="1:16" ht="14.25" customHeight="1" x14ac:dyDescent="0.65">
      <c r="A219" s="1168">
        <v>2021</v>
      </c>
      <c r="B219" s="739" t="s">
        <v>295</v>
      </c>
      <c r="C219" s="741">
        <v>38182.838709677417</v>
      </c>
      <c r="D219" s="742">
        <v>54011.193548387098</v>
      </c>
      <c r="E219" s="743">
        <v>51048.193548387098</v>
      </c>
      <c r="F219" s="746">
        <v>143242.22580645161</v>
      </c>
      <c r="G219" s="747">
        <v>143242.22580645161</v>
      </c>
      <c r="H219" s="1170" t="s">
        <v>381</v>
      </c>
      <c r="I219" s="465">
        <v>-0.11883635908854386</v>
      </c>
      <c r="J219" s="466">
        <v>-6.3939160828214173E-2</v>
      </c>
      <c r="K219" s="467">
        <v>-1.8953335478315545E-2</v>
      </c>
      <c r="L219" s="468">
        <v>-6.4187483298504433E-2</v>
      </c>
      <c r="M219" s="469">
        <v>-6.4187483298504433E-2</v>
      </c>
      <c r="O219" s="375">
        <v>2021</v>
      </c>
      <c r="P219" s="375">
        <f t="shared" si="307"/>
        <v>2021.0000000000018</v>
      </c>
    </row>
    <row r="220" spans="1:16" ht="14.25" x14ac:dyDescent="0.65">
      <c r="A220" s="1168"/>
      <c r="B220" s="740" t="s">
        <v>299</v>
      </c>
      <c r="C220" s="741">
        <v>42442.964285714283</v>
      </c>
      <c r="D220" s="742">
        <v>63244.714285714283</v>
      </c>
      <c r="E220" s="743">
        <v>56630.821428571428</v>
      </c>
      <c r="F220" s="744">
        <v>162318.5</v>
      </c>
      <c r="G220" s="745">
        <v>305560.72580645164</v>
      </c>
      <c r="H220" s="1171"/>
      <c r="I220" s="492">
        <v>-6.2500455642409108E-2</v>
      </c>
      <c r="J220" s="436">
        <v>2.7520704394808332E-2</v>
      </c>
      <c r="K220" s="493">
        <v>-2.2285925017883909E-3</v>
      </c>
      <c r="L220" s="494">
        <v>-7.7155880955463996E-3</v>
      </c>
      <c r="M220" s="495">
        <v>-3.5014041031198095E-2</v>
      </c>
      <c r="O220" s="375">
        <v>2021</v>
      </c>
      <c r="P220" s="375">
        <f t="shared" si="307"/>
        <v>2021.0769230769249</v>
      </c>
    </row>
    <row r="221" spans="1:16" ht="14.25" x14ac:dyDescent="0.65">
      <c r="A221" s="1168"/>
      <c r="B221" s="739" t="s">
        <v>303</v>
      </c>
      <c r="C221" s="741">
        <v>43826.612903225803</v>
      </c>
      <c r="D221" s="742">
        <v>64973.290322580644</v>
      </c>
      <c r="E221" s="743">
        <v>57674.258064516129</v>
      </c>
      <c r="F221" s="744">
        <v>166474.16129032258</v>
      </c>
      <c r="G221" s="745">
        <v>472034.88709677418</v>
      </c>
      <c r="H221" s="1171"/>
      <c r="I221" s="435">
        <v>0.24766973083669283</v>
      </c>
      <c r="J221" s="436">
        <v>0.2531073038594151</v>
      </c>
      <c r="K221" s="437">
        <v>0.23966593747941578</v>
      </c>
      <c r="L221" s="438">
        <v>0.24699234049298324</v>
      </c>
      <c r="M221" s="439">
        <v>4.8620615917666976E-2</v>
      </c>
      <c r="O221" s="375">
        <v>2021</v>
      </c>
      <c r="P221" s="375">
        <f t="shared" si="307"/>
        <v>2021.153846153848</v>
      </c>
    </row>
    <row r="222" spans="1:16" ht="14.25" x14ac:dyDescent="0.65">
      <c r="A222" s="1168"/>
      <c r="B222" s="740" t="s">
        <v>306</v>
      </c>
      <c r="C222" s="741">
        <v>39560.366666666669</v>
      </c>
      <c r="D222" s="742">
        <v>60303</v>
      </c>
      <c r="E222" s="743">
        <v>54850</v>
      </c>
      <c r="F222" s="744">
        <v>154713.36666666667</v>
      </c>
      <c r="G222" s="745">
        <v>626748.25376344088</v>
      </c>
      <c r="H222" s="1171"/>
      <c r="I222" s="435">
        <v>0.41220616495814472</v>
      </c>
      <c r="J222" s="436">
        <v>0.27960124261560393</v>
      </c>
      <c r="K222" s="437">
        <v>0.29342158941115709</v>
      </c>
      <c r="L222" s="438">
        <v>0.31618900213645995</v>
      </c>
      <c r="M222" s="439">
        <v>0.10402312265492086</v>
      </c>
      <c r="O222" s="375">
        <v>2021</v>
      </c>
      <c r="P222" s="375">
        <f t="shared" si="307"/>
        <v>2021.2307692307711</v>
      </c>
    </row>
    <row r="223" spans="1:16" ht="14.25" x14ac:dyDescent="0.65">
      <c r="A223" s="1168"/>
      <c r="B223" s="739" t="s">
        <v>310</v>
      </c>
      <c r="C223" s="741">
        <v>44441.838709677417</v>
      </c>
      <c r="D223" s="742">
        <v>68296.290322580651</v>
      </c>
      <c r="E223" s="743">
        <v>61616.419354838712</v>
      </c>
      <c r="F223" s="744">
        <v>174354.54838709679</v>
      </c>
      <c r="G223" s="745">
        <v>801102.80215053773</v>
      </c>
      <c r="H223" s="1171"/>
      <c r="I223" s="435">
        <v>0.11765727103470919</v>
      </c>
      <c r="J223" s="436">
        <v>7.3555175255118274E-2</v>
      </c>
      <c r="K223" s="437">
        <v>6.0870497319927552E-2</v>
      </c>
      <c r="L223" s="438">
        <v>7.9853339489473374E-2</v>
      </c>
      <c r="M223" s="439">
        <v>9.8671066070454172E-2</v>
      </c>
      <c r="O223" s="375">
        <v>2021</v>
      </c>
      <c r="P223" s="375">
        <f t="shared" si="307"/>
        <v>2021.3076923076942</v>
      </c>
    </row>
    <row r="224" spans="1:16" ht="14.25" x14ac:dyDescent="0.65">
      <c r="A224" s="1168"/>
      <c r="B224" s="740" t="s">
        <v>314</v>
      </c>
      <c r="C224" s="741">
        <v>45660.23333333333</v>
      </c>
      <c r="D224" s="742">
        <v>65958.133333333331</v>
      </c>
      <c r="E224" s="743">
        <v>62163.833333333336</v>
      </c>
      <c r="F224" s="744">
        <v>173782.2</v>
      </c>
      <c r="G224" s="745">
        <v>974885.00215053768</v>
      </c>
      <c r="H224" s="1171"/>
      <c r="I224" s="435">
        <v>3.08772420976265E-2</v>
      </c>
      <c r="J224" s="756">
        <v>-5.0232962276503543E-3</v>
      </c>
      <c r="K224" s="493">
        <v>-1.5456670460787054E-3</v>
      </c>
      <c r="L224" s="438">
        <v>5.4291794093859203E-3</v>
      </c>
      <c r="M224" s="439">
        <v>8.0803790800816788E-2</v>
      </c>
      <c r="O224" s="375">
        <v>2021</v>
      </c>
      <c r="P224" s="375">
        <f t="shared" si="307"/>
        <v>2021.3846153846173</v>
      </c>
    </row>
    <row r="225" spans="1:17" ht="14.25" x14ac:dyDescent="0.65">
      <c r="A225" s="1168"/>
      <c r="B225" s="739" t="s">
        <v>316</v>
      </c>
      <c r="C225" s="741">
        <v>39546.290322580644</v>
      </c>
      <c r="D225" s="742">
        <v>62136.580645161288</v>
      </c>
      <c r="E225" s="743">
        <v>54735.290322580644</v>
      </c>
      <c r="F225" s="744">
        <v>156418.16129032258</v>
      </c>
      <c r="G225" s="745">
        <v>1131303.1634408603</v>
      </c>
      <c r="H225" s="1171"/>
      <c r="I225" s="492">
        <v>-8.0613448682659104E-3</v>
      </c>
      <c r="J225" s="756">
        <v>-6.3501266930232883E-3</v>
      </c>
      <c r="K225" s="493">
        <v>-7.2601136734427321E-2</v>
      </c>
      <c r="L225" s="494">
        <v>-3.0995975475158422E-2</v>
      </c>
      <c r="M225" s="439">
        <v>6.3833197401355068E-2</v>
      </c>
      <c r="O225" s="375">
        <v>2021</v>
      </c>
      <c r="P225" s="375">
        <f t="shared" si="307"/>
        <v>2021.4615384615404</v>
      </c>
    </row>
    <row r="226" spans="1:17" ht="14.25" x14ac:dyDescent="0.65">
      <c r="A226" s="1168"/>
      <c r="B226" s="740" t="s">
        <v>319</v>
      </c>
      <c r="C226" s="741">
        <v>42802.645161290326</v>
      </c>
      <c r="D226" s="742">
        <v>64501.580645161288</v>
      </c>
      <c r="E226" s="743">
        <v>62020.645161290326</v>
      </c>
      <c r="F226" s="744">
        <v>169324.87096774194</v>
      </c>
      <c r="G226" s="745">
        <v>1300628.0344086024</v>
      </c>
      <c r="H226" s="1171"/>
      <c r="I226" s="435">
        <v>5.3924928772326568E-2</v>
      </c>
      <c r="J226" s="436">
        <v>5.1503752874539351E-2</v>
      </c>
      <c r="K226" s="437">
        <v>6.7185317043359921E-2</v>
      </c>
      <c r="L226" s="438">
        <v>5.7811466247121412E-2</v>
      </c>
      <c r="M226" s="439">
        <v>6.304536736652766E-2</v>
      </c>
      <c r="O226" s="375">
        <v>2021</v>
      </c>
      <c r="P226" s="375">
        <f t="shared" si="307"/>
        <v>2021.5384615384635</v>
      </c>
    </row>
    <row r="227" spans="1:17" ht="14.25" x14ac:dyDescent="0.65">
      <c r="A227" s="1168"/>
      <c r="B227" s="739" t="s">
        <v>321</v>
      </c>
      <c r="C227" s="741">
        <v>46498.3</v>
      </c>
      <c r="D227" s="742">
        <v>68422.633333333331</v>
      </c>
      <c r="E227" s="743">
        <v>62940.167687527741</v>
      </c>
      <c r="F227" s="744">
        <v>177861.10102086107</v>
      </c>
      <c r="G227" s="745">
        <v>1478489.1354294633</v>
      </c>
      <c r="H227" s="1171"/>
      <c r="I227" s="435">
        <v>5.1673352638590471E-2</v>
      </c>
      <c r="J227" s="436">
        <v>5.4198812004852166E-2</v>
      </c>
      <c r="K227" s="437">
        <v>7.1645472917687567E-2</v>
      </c>
      <c r="L227" s="438">
        <v>5.9638299859981148E-2</v>
      </c>
      <c r="M227" s="439">
        <v>6.2634340909827113E-2</v>
      </c>
      <c r="O227" s="375">
        <v>2021</v>
      </c>
      <c r="P227" s="375">
        <f t="shared" si="307"/>
        <v>2021.6153846153866</v>
      </c>
    </row>
    <row r="228" spans="1:17" ht="14.25" x14ac:dyDescent="0.65">
      <c r="A228" s="1168"/>
      <c r="B228" s="740" t="s">
        <v>323</v>
      </c>
      <c r="C228" s="741">
        <v>46942.258064516129</v>
      </c>
      <c r="D228" s="742">
        <v>67603.612903225803</v>
      </c>
      <c r="E228" s="743">
        <v>62112.842373264546</v>
      </c>
      <c r="F228" s="744">
        <v>176658.71334100649</v>
      </c>
      <c r="G228" s="745">
        <v>1655147.8487704699</v>
      </c>
      <c r="H228" s="1171"/>
      <c r="I228" s="435">
        <v>0.34061552549611734</v>
      </c>
      <c r="J228" s="436">
        <v>0.20887723941250633</v>
      </c>
      <c r="K228" s="437">
        <v>0.23374085174091916</v>
      </c>
      <c r="L228" s="438">
        <v>0.25038703167081477</v>
      </c>
      <c r="M228" s="439">
        <v>7.9942084140375957E-2</v>
      </c>
      <c r="O228" s="375">
        <v>2021</v>
      </c>
      <c r="P228" s="375">
        <f t="shared" si="307"/>
        <v>2021.6923076923097</v>
      </c>
    </row>
    <row r="229" spans="1:17" ht="14.25" x14ac:dyDescent="0.65">
      <c r="A229" s="1168"/>
      <c r="B229" s="739" t="s">
        <v>326</v>
      </c>
      <c r="C229" s="741">
        <v>45325.166666666664</v>
      </c>
      <c r="D229" s="742">
        <v>65288.9</v>
      </c>
      <c r="E229" s="743">
        <v>58818.666666666664</v>
      </c>
      <c r="F229" s="744">
        <v>169432.73333333334</v>
      </c>
      <c r="G229" s="745">
        <v>1824580.5821038033</v>
      </c>
      <c r="H229" s="1171"/>
      <c r="I229" s="435">
        <v>0.30895825692356699</v>
      </c>
      <c r="J229" s="436">
        <v>0.19435211388702409</v>
      </c>
      <c r="K229" s="437">
        <v>0.21455405459353574</v>
      </c>
      <c r="L229" s="438">
        <v>0.23027141582643429</v>
      </c>
      <c r="M229" s="439">
        <v>9.2336714872945258E-2</v>
      </c>
      <c r="O229" s="375">
        <v>2021</v>
      </c>
      <c r="P229" s="375">
        <f t="shared" si="307"/>
        <v>2021.7692307692328</v>
      </c>
    </row>
    <row r="230" spans="1:17" ht="15" thickBot="1" x14ac:dyDescent="0.8">
      <c r="A230" s="1169"/>
      <c r="B230" s="740" t="s">
        <v>327</v>
      </c>
      <c r="C230" s="741">
        <v>43600.709677419356</v>
      </c>
      <c r="D230" s="742">
        <v>64090.193548387098</v>
      </c>
      <c r="E230" s="743">
        <v>56334.709677419356</v>
      </c>
      <c r="F230" s="757">
        <v>164025.61290322582</v>
      </c>
      <c r="G230" s="745">
        <v>1988606.195007029</v>
      </c>
      <c r="H230" s="1171"/>
      <c r="I230" s="444">
        <v>0.12576251761578106</v>
      </c>
      <c r="J230" s="440">
        <v>8.7630883567751783E-2</v>
      </c>
      <c r="K230" s="441">
        <v>0.11991114462853383</v>
      </c>
      <c r="L230" s="442">
        <v>0.10858682701311517</v>
      </c>
      <c r="M230" s="443">
        <v>9.3659019351192141E-2</v>
      </c>
      <c r="O230" s="375">
        <v>2021</v>
      </c>
      <c r="P230" s="375">
        <f t="shared" si="307"/>
        <v>2021.8461538461559</v>
      </c>
    </row>
    <row r="231" spans="1:17" ht="16.25" thickBot="1" x14ac:dyDescent="0.8">
      <c r="A231" s="1173" t="s">
        <v>356</v>
      </c>
      <c r="B231" s="1174"/>
      <c r="C231" s="754">
        <v>43200</v>
      </c>
      <c r="D231" s="754">
        <v>64100</v>
      </c>
      <c r="E231" s="754">
        <v>58400</v>
      </c>
      <c r="F231" s="755"/>
      <c r="G231" s="748"/>
      <c r="H231" s="1172"/>
      <c r="I231" s="488"/>
      <c r="J231" s="488"/>
      <c r="K231" s="489"/>
      <c r="L231" s="490"/>
      <c r="M231" s="429">
        <v>9.3659019351192141E-2</v>
      </c>
      <c r="O231" s="375"/>
      <c r="P231" s="375">
        <f>P230+$P$97</f>
        <v>2021.923076923079</v>
      </c>
    </row>
    <row r="232" spans="1:17" ht="14.25" customHeight="1" x14ac:dyDescent="0.65">
      <c r="A232" s="1151">
        <v>2022</v>
      </c>
      <c r="B232" s="826" t="s">
        <v>295</v>
      </c>
      <c r="C232" s="813">
        <v>36873.161290322583</v>
      </c>
      <c r="D232" s="814">
        <v>54462.354838709674</v>
      </c>
      <c r="E232" s="815">
        <v>48774.580645161288</v>
      </c>
      <c r="F232" s="823">
        <v>140110.09677419355</v>
      </c>
      <c r="G232" s="824">
        <v>140110.09677419355</v>
      </c>
      <c r="H232" s="1153" t="s">
        <v>399</v>
      </c>
      <c r="I232" s="465">
        <v>-3.4300158490387374E-2</v>
      </c>
      <c r="J232" s="821">
        <v>8.353107211348576E-3</v>
      </c>
      <c r="K232" s="467">
        <v>-4.4538557492161186E-2</v>
      </c>
      <c r="L232" s="468">
        <v>-2.186596176249167E-2</v>
      </c>
      <c r="M232" s="469">
        <v>-2.186596176249167E-2</v>
      </c>
      <c r="O232" s="375">
        <v>2022</v>
      </c>
      <c r="P232" s="375">
        <f>P231+$P$97</f>
        <v>2022.000000000002</v>
      </c>
    </row>
    <row r="233" spans="1:17" ht="14.25" x14ac:dyDescent="0.65">
      <c r="A233" s="1151"/>
      <c r="B233" s="827" t="s">
        <v>299</v>
      </c>
      <c r="C233" s="813">
        <v>39569.678571428572</v>
      </c>
      <c r="D233" s="814">
        <v>57265.75</v>
      </c>
      <c r="E233" s="815">
        <v>50600.25</v>
      </c>
      <c r="F233" s="816">
        <v>147435.67857142858</v>
      </c>
      <c r="G233" s="817">
        <v>287545.7753456221</v>
      </c>
      <c r="H233" s="1154"/>
      <c r="I233" s="492">
        <v>-6.7697573971119127E-2</v>
      </c>
      <c r="J233" s="756">
        <v>-9.4536979939599655E-2</v>
      </c>
      <c r="K233" s="493">
        <v>-0.10648920987624733</v>
      </c>
      <c r="L233" s="494">
        <v>-9.168900296991056E-2</v>
      </c>
      <c r="M233" s="495">
        <v>-5.8957022088763411E-2</v>
      </c>
      <c r="O233" s="375">
        <v>2022</v>
      </c>
      <c r="P233" s="375">
        <f>P232+$P$97</f>
        <v>2022.0769230769251</v>
      </c>
    </row>
    <row r="234" spans="1:17" ht="14.25" x14ac:dyDescent="0.65">
      <c r="A234" s="1151"/>
      <c r="B234" s="826" t="s">
        <v>303</v>
      </c>
      <c r="C234" s="813">
        <v>45219.193548387098</v>
      </c>
      <c r="D234" s="814">
        <v>64136.93548387097</v>
      </c>
      <c r="E234" s="815">
        <v>57494.419354838712</v>
      </c>
      <c r="F234" s="816">
        <v>166850.54838709679</v>
      </c>
      <c r="G234" s="817">
        <v>454396.32373271888</v>
      </c>
      <c r="H234" s="1154"/>
      <c r="I234" s="435">
        <v>3.17747722881591E-2</v>
      </c>
      <c r="J234" s="756">
        <v>-1.2872286974498656E-2</v>
      </c>
      <c r="K234" s="493">
        <v>-3.1181798554953907E-3</v>
      </c>
      <c r="L234" s="438">
        <v>2.2609340323860305E-3</v>
      </c>
      <c r="M234" s="495">
        <v>-3.7367075710315278E-2</v>
      </c>
      <c r="O234" s="375">
        <v>2022</v>
      </c>
      <c r="P234" s="375">
        <f t="shared" si="307"/>
        <v>2022.1538461538482</v>
      </c>
    </row>
    <row r="235" spans="1:17" ht="14.25" x14ac:dyDescent="0.65">
      <c r="A235" s="1151"/>
      <c r="B235" s="827" t="s">
        <v>306</v>
      </c>
      <c r="C235" s="813">
        <v>44058.9</v>
      </c>
      <c r="D235" s="814">
        <v>64241.566666666666</v>
      </c>
      <c r="E235" s="815">
        <v>59686.5</v>
      </c>
      <c r="F235" s="816">
        <v>167986.96666666667</v>
      </c>
      <c r="G235" s="817">
        <v>622383.29039938562</v>
      </c>
      <c r="H235" s="1154"/>
      <c r="I235" s="435">
        <v>0.11371313545290697</v>
      </c>
      <c r="J235" s="436">
        <v>6.5312947393440887E-2</v>
      </c>
      <c r="K235" s="437">
        <v>8.8176845943482227E-2</v>
      </c>
      <c r="L235" s="438">
        <v>8.5794784807432078E-2</v>
      </c>
      <c r="M235" s="495">
        <v>-6.9644603520551129E-3</v>
      </c>
      <c r="O235" s="375">
        <v>2022</v>
      </c>
      <c r="P235" s="375">
        <f t="shared" si="307"/>
        <v>2022.2307692307713</v>
      </c>
    </row>
    <row r="236" spans="1:17" ht="14.25" x14ac:dyDescent="0.65">
      <c r="A236" s="1151"/>
      <c r="B236" s="826" t="s">
        <v>310</v>
      </c>
      <c r="C236" s="813">
        <v>47849.451612903227</v>
      </c>
      <c r="D236" s="814">
        <v>70441.645161290318</v>
      </c>
      <c r="E236" s="815">
        <v>64904.225806451614</v>
      </c>
      <c r="F236" s="816">
        <v>183195.32258064515</v>
      </c>
      <c r="G236" s="817">
        <v>805578.61298003071</v>
      </c>
      <c r="H236" s="1154"/>
      <c r="I236" s="435">
        <v>7.667578574969687E-2</v>
      </c>
      <c r="J236" s="436">
        <v>3.1412465136490042E-2</v>
      </c>
      <c r="K236" s="437">
        <v>5.3359258555401787E-2</v>
      </c>
      <c r="L236" s="438">
        <v>5.0705727354587449E-2</v>
      </c>
      <c r="M236" s="439">
        <v>5.5870617572149062E-3</v>
      </c>
      <c r="O236" s="375">
        <v>2022</v>
      </c>
      <c r="P236" s="375">
        <f t="shared" si="307"/>
        <v>2022.3076923076944</v>
      </c>
    </row>
    <row r="237" spans="1:17" ht="14.25" x14ac:dyDescent="0.65">
      <c r="A237" s="1151"/>
      <c r="B237" s="827" t="s">
        <v>314</v>
      </c>
      <c r="C237" s="813">
        <v>45144.4272360377</v>
      </c>
      <c r="D237" s="814">
        <v>68527.233333333337</v>
      </c>
      <c r="E237" s="815">
        <v>64417.5</v>
      </c>
      <c r="F237" s="816">
        <v>178089.16056937104</v>
      </c>
      <c r="G237" s="817">
        <v>983667.77354940202</v>
      </c>
      <c r="H237" s="1154"/>
      <c r="I237" s="492">
        <v>-1.1296615449380024E-2</v>
      </c>
      <c r="J237" s="436">
        <v>3.895046554784256E-2</v>
      </c>
      <c r="K237" s="437">
        <v>3.6253663035580669E-2</v>
      </c>
      <c r="L237" s="438">
        <v>2.4783669267456787E-2</v>
      </c>
      <c r="M237" s="439">
        <v>9.0090332495522674E-3</v>
      </c>
      <c r="O237" s="375">
        <v>2022</v>
      </c>
      <c r="P237" s="375">
        <f t="shared" si="307"/>
        <v>2022.3846153846175</v>
      </c>
    </row>
    <row r="238" spans="1:17" ht="14.25" x14ac:dyDescent="0.65">
      <c r="A238" s="1151"/>
      <c r="B238" s="826" t="s">
        <v>316</v>
      </c>
      <c r="C238" s="813">
        <v>39422.725928347616</v>
      </c>
      <c r="D238" s="814">
        <v>61731.419354838712</v>
      </c>
      <c r="E238" s="815">
        <v>59338.838709677417</v>
      </c>
      <c r="F238" s="816">
        <v>160492.98399286374</v>
      </c>
      <c r="G238" s="817">
        <v>1144160.7575422656</v>
      </c>
      <c r="H238" s="1154"/>
      <c r="I238" s="492">
        <v>-3.1245508295495829E-3</v>
      </c>
      <c r="J238" s="756">
        <v>-6.5204954330573828E-3</v>
      </c>
      <c r="K238" s="437">
        <v>8.4105672226563719E-2</v>
      </c>
      <c r="L238" s="438">
        <v>2.6050828554224026E-2</v>
      </c>
      <c r="M238" s="439">
        <v>1.1365294924393865E-2</v>
      </c>
      <c r="O238" s="375">
        <v>2022</v>
      </c>
      <c r="P238" s="375">
        <f t="shared" si="307"/>
        <v>2022.4615384615406</v>
      </c>
    </row>
    <row r="239" spans="1:17" ht="14.25" x14ac:dyDescent="0.65">
      <c r="A239" s="1151"/>
      <c r="B239" s="827" t="s">
        <v>319</v>
      </c>
      <c r="C239" s="813">
        <v>46657.959749207759</v>
      </c>
      <c r="D239" s="814">
        <v>66778.967741935485</v>
      </c>
      <c r="E239" s="815">
        <v>64609.903225806454</v>
      </c>
      <c r="F239" s="816">
        <v>178046.83071694971</v>
      </c>
      <c r="G239" s="817">
        <v>1322207.5882592152</v>
      </c>
      <c r="H239" s="1154"/>
      <c r="I239" s="435">
        <v>9.0071876945682E-2</v>
      </c>
      <c r="J239" s="436">
        <v>3.5307461832643314E-2</v>
      </c>
      <c r="K239" s="437">
        <v>4.174832521948986E-2</v>
      </c>
      <c r="L239" s="438">
        <v>5.1510210516382937E-2</v>
      </c>
      <c r="M239" s="439">
        <v>1.6591641329971152E-2</v>
      </c>
      <c r="O239" s="375">
        <v>2022</v>
      </c>
      <c r="P239" s="375">
        <f t="shared" si="307"/>
        <v>2022.5384615384637</v>
      </c>
    </row>
    <row r="240" spans="1:17" ht="14.25" x14ac:dyDescent="0.65">
      <c r="A240" s="1151"/>
      <c r="B240" s="826" t="s">
        <v>321</v>
      </c>
      <c r="C240" s="813">
        <v>48525.282323483843</v>
      </c>
      <c r="D240" s="814">
        <v>69028.333333333328</v>
      </c>
      <c r="E240" s="815">
        <v>64900.566666666666</v>
      </c>
      <c r="F240" s="816">
        <v>182454.18232348384</v>
      </c>
      <c r="G240" s="817">
        <v>1504661.770582699</v>
      </c>
      <c r="H240" s="1154"/>
      <c r="I240" s="435">
        <v>4.3592611417704312E-2</v>
      </c>
      <c r="J240" s="436">
        <v>8.8523339499258832E-3</v>
      </c>
      <c r="K240" s="437">
        <v>3.1147025042441993E-2</v>
      </c>
      <c r="L240" s="438">
        <v>2.5823978802897773E-2</v>
      </c>
      <c r="M240" s="439">
        <v>1.7702284396992285E-2</v>
      </c>
      <c r="O240" s="375">
        <v>2022</v>
      </c>
      <c r="P240" s="375">
        <f t="shared" si="307"/>
        <v>2022.6153846153868</v>
      </c>
      <c r="Q240" s="25"/>
    </row>
    <row r="241" spans="1:16" ht="14.25" x14ac:dyDescent="0.65">
      <c r="A241" s="1151"/>
      <c r="B241" s="827" t="s">
        <v>323</v>
      </c>
      <c r="C241" s="813">
        <v>47235.470685454842</v>
      </c>
      <c r="D241" s="814">
        <v>67575.709677419349</v>
      </c>
      <c r="E241" s="815">
        <v>62039.129032258068</v>
      </c>
      <c r="F241" s="816">
        <v>176850.30939513227</v>
      </c>
      <c r="G241" s="817">
        <v>1681512.0799778313</v>
      </c>
      <c r="H241" s="1154"/>
      <c r="I241" s="435">
        <v>6.2462402327499913E-3</v>
      </c>
      <c r="J241" s="436">
        <v>-4.1274755309894076E-4</v>
      </c>
      <c r="K241" s="830">
        <v>-1.1867648974023882E-3</v>
      </c>
      <c r="L241" s="438">
        <v>1.0845547921314314E-3</v>
      </c>
      <c r="M241" s="439">
        <v>1.5928626090379927E-2</v>
      </c>
      <c r="O241" s="375">
        <v>2022</v>
      </c>
      <c r="P241" s="375">
        <f t="shared" si="307"/>
        <v>2022.6923076923099</v>
      </c>
    </row>
    <row r="242" spans="1:16" ht="14.25" x14ac:dyDescent="0.65">
      <c r="A242" s="1151"/>
      <c r="B242" s="826" t="s">
        <v>326</v>
      </c>
      <c r="C242" s="813">
        <v>47506.468197195856</v>
      </c>
      <c r="D242" s="814">
        <v>68336.2</v>
      </c>
      <c r="E242" s="815">
        <v>61746.23333333333</v>
      </c>
      <c r="F242" s="816">
        <v>177588.9015305292</v>
      </c>
      <c r="G242" s="817">
        <v>1859100.9815083605</v>
      </c>
      <c r="H242" s="1154"/>
      <c r="I242" s="435">
        <v>4.8125615214414184E-2</v>
      </c>
      <c r="J242" s="436">
        <v>4.667409008269393E-2</v>
      </c>
      <c r="K242" s="437">
        <v>4.9772747880491443E-2</v>
      </c>
      <c r="L242" s="438">
        <v>4.8138090183257765E-2</v>
      </c>
      <c r="M242" s="439">
        <v>1.8919635418214398E-2</v>
      </c>
      <c r="O242" s="375">
        <v>2022</v>
      </c>
      <c r="P242" s="375">
        <f t="shared" si="307"/>
        <v>2022.769230769233</v>
      </c>
    </row>
    <row r="243" spans="1:16" ht="15" thickBot="1" x14ac:dyDescent="0.8">
      <c r="A243" s="1152"/>
      <c r="B243" s="827" t="s">
        <v>327</v>
      </c>
      <c r="C243" s="813">
        <v>43473.430209587808</v>
      </c>
      <c r="D243" s="814">
        <v>62781.93548387097</v>
      </c>
      <c r="E243" s="815">
        <v>54417.838709677417</v>
      </c>
      <c r="F243" s="829">
        <v>160673.20440313619</v>
      </c>
      <c r="G243" s="817">
        <v>2019774.1859114966</v>
      </c>
      <c r="H243" s="1154"/>
      <c r="I243" s="831">
        <v>-2.9192063334112475E-3</v>
      </c>
      <c r="J243" s="832">
        <v>-2.0412765075025312E-2</v>
      </c>
      <c r="K243" s="833">
        <v>-3.4026463945908622E-2</v>
      </c>
      <c r="L243" s="834">
        <v>-2.0438323263986424E-2</v>
      </c>
      <c r="M243" s="443">
        <v>1.5673284626551043E-2</v>
      </c>
      <c r="O243" s="375">
        <v>2022</v>
      </c>
      <c r="P243" s="375">
        <f>P242+$P$97</f>
        <v>2022.8461538461561</v>
      </c>
    </row>
    <row r="244" spans="1:16" ht="16.25" thickBot="1" x14ac:dyDescent="0.8">
      <c r="A244" s="1156" t="s">
        <v>356</v>
      </c>
      <c r="B244" s="1157"/>
      <c r="C244" s="812">
        <v>44300</v>
      </c>
      <c r="D244" s="812">
        <v>64600</v>
      </c>
      <c r="E244" s="812">
        <v>59400</v>
      </c>
      <c r="F244" s="828"/>
      <c r="G244" s="825"/>
      <c r="H244" s="1155"/>
      <c r="I244" s="428">
        <v>2.5462962962963021E-2</v>
      </c>
      <c r="J244" s="428">
        <v>7.8003120124805481E-3</v>
      </c>
      <c r="K244" s="429">
        <v>1.7123287671232834E-2</v>
      </c>
      <c r="L244" s="490"/>
      <c r="M244" s="429">
        <v>1.5673284626551043E-2</v>
      </c>
      <c r="P244" s="375">
        <f>P243+$P$97</f>
        <v>2022.9230769230792</v>
      </c>
    </row>
    <row r="245" spans="1:16" ht="14.25" x14ac:dyDescent="0.65">
      <c r="A245" s="1151" t="s">
        <v>400</v>
      </c>
      <c r="B245" s="826" t="s">
        <v>295</v>
      </c>
      <c r="C245" s="813">
        <v>42391.624152076824</v>
      </c>
      <c r="D245" s="814">
        <v>60890.612903225803</v>
      </c>
      <c r="E245" s="815">
        <v>53770.129032258068</v>
      </c>
      <c r="F245" s="823">
        <v>157052.36608756069</v>
      </c>
      <c r="G245" s="824">
        <v>157052.36608756069</v>
      </c>
      <c r="H245" s="1153" t="s">
        <v>399</v>
      </c>
      <c r="I245" s="820">
        <v>0.14966069272727558</v>
      </c>
      <c r="J245" s="821">
        <v>0.1180312177751664</v>
      </c>
      <c r="K245" s="822">
        <v>0.10242114480572918</v>
      </c>
      <c r="L245" s="818">
        <v>0.12092111634661062</v>
      </c>
      <c r="M245" s="819">
        <v>0.12092111634661062</v>
      </c>
      <c r="O245" s="375">
        <v>2023</v>
      </c>
      <c r="P245" s="375">
        <f t="shared" ref="P245:P257" si="310">P244+$P$97</f>
        <v>2023.0000000000023</v>
      </c>
    </row>
    <row r="246" spans="1:16" ht="14.25" x14ac:dyDescent="0.65">
      <c r="A246" s="1151"/>
      <c r="B246" s="827" t="s">
        <v>299</v>
      </c>
      <c r="C246" s="813">
        <v>44129.510624159026</v>
      </c>
      <c r="D246" s="814">
        <v>63744.964285714283</v>
      </c>
      <c r="E246" s="815">
        <v>57329.428571428572</v>
      </c>
      <c r="F246" s="816">
        <v>165203.90348130188</v>
      </c>
      <c r="G246" s="817">
        <v>322256.26956886257</v>
      </c>
      <c r="H246" s="1154"/>
      <c r="I246" s="435">
        <v>0.11523550904006827</v>
      </c>
      <c r="J246" s="436">
        <v>0.11314292200336645</v>
      </c>
      <c r="K246" s="437">
        <v>0.13298706175223585</v>
      </c>
      <c r="L246" s="438">
        <v>0.12051509568130125</v>
      </c>
      <c r="M246" s="439">
        <v>0.12071293407638972</v>
      </c>
      <c r="O246" s="375">
        <v>2023</v>
      </c>
      <c r="P246" s="375">
        <f t="shared" si="310"/>
        <v>2023.0769230769254</v>
      </c>
    </row>
    <row r="247" spans="1:16" ht="14.25" x14ac:dyDescent="0.65">
      <c r="A247" s="1151"/>
      <c r="B247" s="826" t="s">
        <v>303</v>
      </c>
      <c r="C247" s="813">
        <v>48082.44939519911</v>
      </c>
      <c r="D247" s="814">
        <v>69048.290322580651</v>
      </c>
      <c r="E247" s="815">
        <v>63702.516129032258</v>
      </c>
      <c r="F247" s="816">
        <v>180833.25584681204</v>
      </c>
      <c r="G247" s="817">
        <v>503089.52541567461</v>
      </c>
      <c r="H247" s="1154"/>
      <c r="I247" s="435">
        <v>6.3319480559691221E-2</v>
      </c>
      <c r="J247" s="436">
        <v>7.6576075886020153E-2</v>
      </c>
      <c r="K247" s="437">
        <v>0.1079773801328263</v>
      </c>
      <c r="L247" s="438">
        <v>8.3803784853466956E-2</v>
      </c>
      <c r="M247" s="439">
        <v>0.10716020165602758</v>
      </c>
      <c r="O247" s="375">
        <v>2023</v>
      </c>
      <c r="P247" s="375">
        <f t="shared" si="310"/>
        <v>2023.1538461538485</v>
      </c>
    </row>
    <row r="248" spans="1:16" ht="14.25" x14ac:dyDescent="0.65">
      <c r="A248" s="1151"/>
      <c r="B248" s="827" t="s">
        <v>306</v>
      </c>
      <c r="C248" s="813">
        <v>43619.579449772435</v>
      </c>
      <c r="D248" s="814">
        <v>64263.866666666669</v>
      </c>
      <c r="E248" s="815">
        <v>56594.26666666667</v>
      </c>
      <c r="F248" s="816">
        <v>164477.71278310576</v>
      </c>
      <c r="G248" s="817">
        <v>667567.23819878034</v>
      </c>
      <c r="H248" s="1154"/>
      <c r="I248" s="492">
        <v>-9.971210135240936E-3</v>
      </c>
      <c r="J248" s="436">
        <v>3.4712727533112636E-4</v>
      </c>
      <c r="K248" s="493">
        <v>-5.180791859689092E-2</v>
      </c>
      <c r="L248" s="494">
        <v>-2.0890036609353513E-2</v>
      </c>
      <c r="M248" s="495">
        <v>7.2598266207307693E-2</v>
      </c>
      <c r="O248" s="375">
        <v>2023</v>
      </c>
      <c r="P248" s="375">
        <f t="shared" si="310"/>
        <v>2023.2307692307716</v>
      </c>
    </row>
    <row r="249" spans="1:16" ht="14.25" x14ac:dyDescent="0.65">
      <c r="A249" s="1151"/>
      <c r="B249" s="826" t="s">
        <v>310</v>
      </c>
      <c r="C249" s="222">
        <v>46405</v>
      </c>
      <c r="D249" s="223">
        <v>69287</v>
      </c>
      <c r="E249" s="224">
        <v>64723</v>
      </c>
      <c r="F249" s="152">
        <v>180415</v>
      </c>
      <c r="G249" s="150">
        <v>847982</v>
      </c>
      <c r="H249" s="1154"/>
      <c r="I249" s="435">
        <v>-0.03</v>
      </c>
      <c r="J249" s="436">
        <v>-1.6E-2</v>
      </c>
      <c r="K249" s="437">
        <v>-3.0000000000000001E-3</v>
      </c>
      <c r="L249" s="438">
        <v>-1.4999999999999999E-2</v>
      </c>
      <c r="M249" s="439">
        <v>5.2999999999999999E-2</v>
      </c>
      <c r="O249" s="375">
        <v>2023</v>
      </c>
      <c r="P249" s="375">
        <f t="shared" si="310"/>
        <v>2023.3076923076947</v>
      </c>
    </row>
    <row r="250" spans="1:16" ht="14.25" x14ac:dyDescent="0.65">
      <c r="A250" s="1151"/>
      <c r="B250" s="827" t="s">
        <v>314</v>
      </c>
      <c r="C250" s="222">
        <v>46374</v>
      </c>
      <c r="D250" s="223">
        <v>72966</v>
      </c>
      <c r="E250" s="224">
        <v>67927</v>
      </c>
      <c r="F250" s="845">
        <v>187268</v>
      </c>
      <c r="G250" s="846">
        <v>1035250</v>
      </c>
      <c r="H250" s="1154"/>
      <c r="I250" s="492">
        <v>2.7E-2</v>
      </c>
      <c r="J250" s="436">
        <v>6.5000000000000002E-2</v>
      </c>
      <c r="K250" s="437">
        <v>5.3999999999999999E-2</v>
      </c>
      <c r="L250" s="438">
        <v>5.1999999999999998E-2</v>
      </c>
      <c r="M250" s="439">
        <v>5.1999999999999998E-2</v>
      </c>
      <c r="O250" s="375">
        <v>2023</v>
      </c>
      <c r="P250" s="375">
        <f t="shared" si="310"/>
        <v>2023.3846153846177</v>
      </c>
    </row>
    <row r="251" spans="1:16" ht="14.25" x14ac:dyDescent="0.65">
      <c r="A251" s="1151"/>
      <c r="B251" s="826" t="s">
        <v>316</v>
      </c>
      <c r="C251" s="222">
        <v>41211</v>
      </c>
      <c r="D251" s="223">
        <v>66908</v>
      </c>
      <c r="E251" s="224">
        <v>64117</v>
      </c>
      <c r="F251" s="845">
        <v>172236</v>
      </c>
      <c r="G251" s="846">
        <v>1207486</v>
      </c>
      <c r="H251" s="1154"/>
      <c r="I251" s="492">
        <v>4.4999999999999998E-2</v>
      </c>
      <c r="J251" s="756">
        <v>8.4000000000000005E-2</v>
      </c>
      <c r="K251" s="437">
        <v>8.1000000000000003E-2</v>
      </c>
      <c r="L251" s="438">
        <v>7.2999999999999995E-2</v>
      </c>
      <c r="M251" s="439">
        <v>5.5E-2</v>
      </c>
      <c r="O251" s="375">
        <v>2023</v>
      </c>
      <c r="P251" s="375">
        <f t="shared" si="310"/>
        <v>2023.4615384615408</v>
      </c>
    </row>
    <row r="252" spans="1:16" ht="14.25" x14ac:dyDescent="0.65">
      <c r="A252" s="1151"/>
      <c r="B252" s="827" t="s">
        <v>319</v>
      </c>
      <c r="C252" s="222">
        <v>44915</v>
      </c>
      <c r="D252" s="223">
        <v>68834</v>
      </c>
      <c r="E252" s="224">
        <v>66620</v>
      </c>
      <c r="F252" s="845">
        <v>180369</v>
      </c>
      <c r="G252" s="846">
        <v>1387855</v>
      </c>
      <c r="H252" s="1154"/>
      <c r="I252" s="435">
        <v>-3.6999999999999998E-2</v>
      </c>
      <c r="J252" s="436">
        <v>3.1E-2</v>
      </c>
      <c r="K252" s="437">
        <v>3.1E-2</v>
      </c>
      <c r="L252" s="438">
        <v>1.2999999999999999E-2</v>
      </c>
      <c r="M252" s="439">
        <v>0.05</v>
      </c>
      <c r="O252" s="375">
        <v>2023</v>
      </c>
      <c r="P252" s="375">
        <f t="shared" si="310"/>
        <v>2023.5384615384639</v>
      </c>
    </row>
    <row r="253" spans="1:16" ht="14.25" x14ac:dyDescent="0.65">
      <c r="A253" s="1151"/>
      <c r="B253" s="826" t="s">
        <v>321</v>
      </c>
      <c r="C253" s="222">
        <v>49276</v>
      </c>
      <c r="D253" s="223">
        <v>71353</v>
      </c>
      <c r="E253" s="224">
        <v>66587</v>
      </c>
      <c r="F253" s="845">
        <v>187216</v>
      </c>
      <c r="G253" s="846">
        <v>1575071</v>
      </c>
      <c r="H253" s="1154"/>
      <c r="I253" s="435">
        <v>1.4999999999999999E-2</v>
      </c>
      <c r="J253" s="436">
        <v>3.4000000000000002E-2</v>
      </c>
      <c r="K253" s="437">
        <v>2.5999999999999999E-2</v>
      </c>
      <c r="L253" s="438">
        <v>2.5999999999999999E-2</v>
      </c>
      <c r="M253" s="439">
        <v>4.7E-2</v>
      </c>
      <c r="O253" s="375">
        <v>2023</v>
      </c>
      <c r="P253" s="375">
        <f t="shared" si="310"/>
        <v>2023.615384615387</v>
      </c>
    </row>
    <row r="254" spans="1:16" ht="14.25" x14ac:dyDescent="0.65">
      <c r="A254" s="1151"/>
      <c r="B254" s="827" t="s">
        <v>323</v>
      </c>
      <c r="C254" s="222">
        <v>48101</v>
      </c>
      <c r="D254" s="223">
        <v>69597</v>
      </c>
      <c r="E254" s="224">
        <v>64021</v>
      </c>
      <c r="F254" s="845">
        <v>181720</v>
      </c>
      <c r="G254" s="846">
        <v>1756791</v>
      </c>
      <c r="H254" s="1154"/>
      <c r="I254" s="435">
        <v>1.7999999999999999E-2</v>
      </c>
      <c r="J254" s="436">
        <v>0.03</v>
      </c>
      <c r="K254" s="830">
        <v>3.2000000000000001E-2</v>
      </c>
      <c r="L254" s="438">
        <v>2.8000000000000001E-2</v>
      </c>
      <c r="M254" s="439">
        <v>4.4999999999999998E-2</v>
      </c>
      <c r="O254" s="375">
        <v>2023</v>
      </c>
      <c r="P254" s="375">
        <f t="shared" si="310"/>
        <v>2023.6923076923101</v>
      </c>
    </row>
    <row r="255" spans="1:16" ht="14.25" x14ac:dyDescent="0.65">
      <c r="A255" s="1151"/>
      <c r="B255" s="826" t="s">
        <v>326</v>
      </c>
      <c r="C255" s="222">
        <v>48656</v>
      </c>
      <c r="D255" s="223">
        <v>70906</v>
      </c>
      <c r="E255" s="224">
        <v>64210</v>
      </c>
      <c r="F255" s="845">
        <v>183772</v>
      </c>
      <c r="G255" s="846">
        <v>1940563</v>
      </c>
      <c r="H255" s="1154"/>
      <c r="I255" s="435">
        <v>2.4E-2</v>
      </c>
      <c r="J255" s="436">
        <v>3.7999999999999999E-2</v>
      </c>
      <c r="K255" s="437">
        <v>0.04</v>
      </c>
      <c r="L255" s="438">
        <v>3.5000000000000003E-2</v>
      </c>
      <c r="M255" s="439">
        <v>4.3999999999999997E-2</v>
      </c>
      <c r="O255" s="375">
        <v>2023</v>
      </c>
      <c r="P255" s="375">
        <f t="shared" si="310"/>
        <v>2023.7692307692332</v>
      </c>
    </row>
    <row r="256" spans="1:16" ht="15" thickBot="1" x14ac:dyDescent="0.8">
      <c r="A256" s="1152"/>
      <c r="B256" s="827" t="s">
        <v>327</v>
      </c>
      <c r="C256" s="222">
        <v>46263</v>
      </c>
      <c r="D256" s="223">
        <v>66941</v>
      </c>
      <c r="E256" s="224">
        <v>59426</v>
      </c>
      <c r="F256" s="847">
        <v>172630</v>
      </c>
      <c r="G256" s="846">
        <v>2113193</v>
      </c>
      <c r="H256" s="1154"/>
      <c r="I256" s="831">
        <v>6.4000000000000001E-2</v>
      </c>
      <c r="J256" s="832">
        <v>6.6000000000000003E-2</v>
      </c>
      <c r="K256" s="833">
        <v>9.1999999999999998E-2</v>
      </c>
      <c r="L256" s="834">
        <v>7.3999999999999996E-2</v>
      </c>
      <c r="M256" s="443">
        <v>4.5999999999999999E-2</v>
      </c>
      <c r="O256" s="375">
        <v>2023</v>
      </c>
      <c r="P256" s="375">
        <f t="shared" si="310"/>
        <v>2023.8461538461563</v>
      </c>
    </row>
    <row r="257" spans="1:16" ht="16.25" thickBot="1" x14ac:dyDescent="0.8">
      <c r="A257" s="1156" t="s">
        <v>356</v>
      </c>
      <c r="B257" s="1157"/>
      <c r="C257" s="848">
        <v>45800</v>
      </c>
      <c r="D257" s="849">
        <v>67900</v>
      </c>
      <c r="E257" s="849">
        <v>62400</v>
      </c>
      <c r="F257" s="828"/>
      <c r="G257" s="825"/>
      <c r="H257" s="1155"/>
      <c r="I257" s="850">
        <v>3.4000000000000002E-2</v>
      </c>
      <c r="J257" s="850">
        <v>5.0999999999999997E-2</v>
      </c>
      <c r="K257" s="851">
        <v>5.0999999999999997E-2</v>
      </c>
      <c r="L257" s="852" t="s">
        <v>401</v>
      </c>
      <c r="M257" s="851">
        <v>4.5999999999999999E-2</v>
      </c>
      <c r="P257" s="375">
        <f t="shared" si="310"/>
        <v>2023.9230769230794</v>
      </c>
    </row>
  </sheetData>
  <mergeCells count="87">
    <mergeCell ref="AG82:AL82"/>
    <mergeCell ref="AG89:AL89"/>
    <mergeCell ref="AG96:AL96"/>
    <mergeCell ref="AG8:AL8"/>
    <mergeCell ref="AG15:AL15"/>
    <mergeCell ref="AG22:AL22"/>
    <mergeCell ref="AG30:AL30"/>
    <mergeCell ref="AG44:AH44"/>
    <mergeCell ref="AG46:AL46"/>
    <mergeCell ref="AG53:AL53"/>
    <mergeCell ref="AG60:AL60"/>
    <mergeCell ref="AG67:AL67"/>
    <mergeCell ref="CB8:CG8"/>
    <mergeCell ref="CB15:CG15"/>
    <mergeCell ref="CB22:CG22"/>
    <mergeCell ref="CB29:CG29"/>
    <mergeCell ref="A128:A139"/>
    <mergeCell ref="H128:H140"/>
    <mergeCell ref="A11:A22"/>
    <mergeCell ref="A37:A48"/>
    <mergeCell ref="H37:H49"/>
    <mergeCell ref="A115:A126"/>
    <mergeCell ref="H115:H127"/>
    <mergeCell ref="A50:A61"/>
    <mergeCell ref="H50:H62"/>
    <mergeCell ref="A63:A74"/>
    <mergeCell ref="H63:H75"/>
    <mergeCell ref="A76:A87"/>
    <mergeCell ref="H141:H153"/>
    <mergeCell ref="A153:B153"/>
    <mergeCell ref="A193:A204"/>
    <mergeCell ref="H193:H205"/>
    <mergeCell ref="A205:B205"/>
    <mergeCell ref="A154:A165"/>
    <mergeCell ref="H154:H166"/>
    <mergeCell ref="A166:B166"/>
    <mergeCell ref="A167:A178"/>
    <mergeCell ref="H167:H179"/>
    <mergeCell ref="A179:B179"/>
    <mergeCell ref="A180:A191"/>
    <mergeCell ref="H180:H192"/>
    <mergeCell ref="A192:B192"/>
    <mergeCell ref="A4:M4"/>
    <mergeCell ref="A5:B7"/>
    <mergeCell ref="C5:M5"/>
    <mergeCell ref="G6:G8"/>
    <mergeCell ref="H6:M6"/>
    <mergeCell ref="I8:K8"/>
    <mergeCell ref="L8:M8"/>
    <mergeCell ref="IP8:IU8"/>
    <mergeCell ref="IP15:IU15"/>
    <mergeCell ref="IP22:IU22"/>
    <mergeCell ref="GZ8:HE8"/>
    <mergeCell ref="GZ15:HE15"/>
    <mergeCell ref="GZ22:HE22"/>
    <mergeCell ref="DS8:DX8"/>
    <mergeCell ref="DS15:DX15"/>
    <mergeCell ref="DS22:DX22"/>
    <mergeCell ref="DS29:DX29"/>
    <mergeCell ref="A219:A230"/>
    <mergeCell ref="H219:H231"/>
    <mergeCell ref="A231:B231"/>
    <mergeCell ref="A206:A217"/>
    <mergeCell ref="H206:H218"/>
    <mergeCell ref="A218:B218"/>
    <mergeCell ref="A24:A35"/>
    <mergeCell ref="H24:H36"/>
    <mergeCell ref="A9:B9"/>
    <mergeCell ref="I9:K9"/>
    <mergeCell ref="L9:M9"/>
    <mergeCell ref="C10:E10"/>
    <mergeCell ref="CB43:CG43"/>
    <mergeCell ref="CB50:CG50"/>
    <mergeCell ref="CB57:CG57"/>
    <mergeCell ref="CB64:CG64"/>
    <mergeCell ref="A245:A256"/>
    <mergeCell ref="H245:H257"/>
    <mergeCell ref="A257:B257"/>
    <mergeCell ref="A232:A243"/>
    <mergeCell ref="H232:H244"/>
    <mergeCell ref="A244:B244"/>
    <mergeCell ref="H76:H88"/>
    <mergeCell ref="A89:A100"/>
    <mergeCell ref="H89:H101"/>
    <mergeCell ref="A102:A113"/>
    <mergeCell ref="H102:H114"/>
    <mergeCell ref="A141:A152"/>
  </mergeCells>
  <dataValidations count="1">
    <dataValidation type="list" allowBlank="1" showInputMessage="1" showErrorMessage="1" sqref="O15" xr:uid="{3C840561-915A-47E1-95BE-FA586403B6E8}">
      <formula1>$O$18:$O$25</formula1>
    </dataValidation>
  </dataValidations>
  <hyperlinks>
    <hyperlink ref="GZ37" r:id="rId1" xr:uid="{53D515FD-128B-418F-B4E0-B6F2E4970C9D}"/>
    <hyperlink ref="IP37" r:id="rId2" xr:uid="{EE58C559-43BA-43DA-A82F-5C0800BAABC0}"/>
    <hyperlink ref="BP43" r:id="rId3" xr:uid="{84669631-F8B3-4CA2-BB11-E80317B4954A}"/>
  </hyperlinks>
  <pageMargins left="0.7" right="0.7" top="0.75" bottom="0.75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6DAAD-4314-4ECC-B9AA-9B38705BDA12}">
  <sheetPr>
    <tabColor theme="4" tint="0.79998168889431442"/>
  </sheetPr>
  <dimension ref="A2:BS114"/>
  <sheetViews>
    <sheetView showGridLines="0" topLeftCell="AO59" zoomScale="75" zoomScaleNormal="75" workbookViewId="0">
      <selection activeCell="BA102" sqref="BA102"/>
    </sheetView>
    <sheetView showGridLines="0" workbookViewId="1"/>
  </sheetViews>
  <sheetFormatPr defaultColWidth="9.1328125" defaultRowHeight="13" x14ac:dyDescent="0.6"/>
  <cols>
    <col min="2" max="2" width="16.7265625" customWidth="1"/>
    <col min="3" max="3" width="13" customWidth="1"/>
    <col min="4" max="4" width="13.54296875" customWidth="1"/>
    <col min="6" max="6" width="10.1328125" bestFit="1" customWidth="1"/>
    <col min="7" max="7" width="10.1328125" customWidth="1"/>
    <col min="8" max="9" width="10.54296875" customWidth="1"/>
    <col min="10" max="10" width="10.40625" customWidth="1"/>
    <col min="47" max="47" width="10.26953125" customWidth="1"/>
    <col min="50" max="50" width="19.40625" customWidth="1"/>
    <col min="52" max="52" width="11.86328125" customWidth="1"/>
    <col min="53" max="53" width="10.54296875" customWidth="1"/>
    <col min="54" max="54" width="11.40625" customWidth="1"/>
    <col min="57" max="57" width="11" customWidth="1"/>
    <col min="58" max="58" width="7.86328125" customWidth="1"/>
    <col min="59" max="60" width="10.54296875" customWidth="1"/>
  </cols>
  <sheetData>
    <row r="2" spans="1:71" x14ac:dyDescent="0.6">
      <c r="AL2">
        <f>1/13</f>
        <v>7.6923076923076927E-2</v>
      </c>
      <c r="AO2">
        <f>1/12</f>
        <v>8.3333333333333329E-2</v>
      </c>
    </row>
    <row r="4" spans="1:71" ht="17.5" thickBot="1" x14ac:dyDescent="0.9">
      <c r="A4" s="1195" t="s">
        <v>451</v>
      </c>
      <c r="B4" s="1195"/>
      <c r="C4" s="1195"/>
      <c r="D4" s="1195"/>
      <c r="E4" s="1195"/>
      <c r="F4" s="1195"/>
      <c r="G4" s="1195"/>
      <c r="H4" s="1195"/>
      <c r="I4" s="1195"/>
      <c r="J4" s="1195"/>
      <c r="K4" s="1195"/>
      <c r="L4" s="1195"/>
      <c r="M4" s="1195"/>
      <c r="N4" s="1195"/>
      <c r="O4" s="1195"/>
      <c r="P4" s="308"/>
      <c r="Q4" s="308"/>
    </row>
    <row r="5" spans="1:71" ht="25.25" x14ac:dyDescent="1.05">
      <c r="A5" s="1196"/>
      <c r="B5" s="1197"/>
      <c r="C5" s="1202" t="s">
        <v>553</v>
      </c>
      <c r="D5" s="1203"/>
      <c r="E5" s="1203"/>
      <c r="F5" s="1203"/>
      <c r="G5" s="1203"/>
      <c r="H5" s="1203"/>
      <c r="I5" s="1203"/>
      <c r="J5" s="1203"/>
      <c r="K5" s="1203"/>
      <c r="L5" s="1203"/>
      <c r="M5" s="1203"/>
      <c r="N5" s="1203"/>
      <c r="O5" s="1203"/>
      <c r="P5" s="309"/>
      <c r="Q5" s="309"/>
      <c r="R5" s="309"/>
      <c r="S5" s="309"/>
      <c r="AW5" s="1196"/>
      <c r="AX5" s="1197"/>
      <c r="AY5" s="1202" t="s">
        <v>554</v>
      </c>
      <c r="AZ5" s="1203"/>
      <c r="BA5" s="1203"/>
      <c r="BB5" s="1203"/>
      <c r="BC5" s="1203"/>
      <c r="BD5" s="1203"/>
      <c r="BE5" s="1203"/>
      <c r="BF5" s="1203"/>
      <c r="BG5" s="1203"/>
      <c r="BH5" s="309"/>
      <c r="BI5" s="309"/>
    </row>
    <row r="6" spans="1:71" ht="25.25" x14ac:dyDescent="1.05">
      <c r="A6" s="1198"/>
      <c r="B6" s="1199"/>
      <c r="C6" s="862"/>
      <c r="D6" s="863"/>
      <c r="E6" s="864"/>
      <c r="F6" s="876"/>
      <c r="G6" s="310"/>
      <c r="H6" s="1205"/>
      <c r="I6" s="874"/>
      <c r="J6" s="874"/>
      <c r="K6" s="1208" t="s">
        <v>253</v>
      </c>
      <c r="L6" s="1209"/>
      <c r="M6" s="1209"/>
      <c r="N6" s="1209"/>
      <c r="O6" s="1209"/>
      <c r="P6" s="1209"/>
      <c r="Q6" s="1209"/>
      <c r="R6" s="1209"/>
      <c r="S6" s="1209"/>
      <c r="V6" s="213" t="str">
        <f>G9</f>
        <v>Farþegar</v>
      </c>
      <c r="W6" s="213" t="str">
        <f>H9</f>
        <v>Hreyfingar</v>
      </c>
      <c r="X6" s="213" t="str">
        <f>I9</f>
        <v>Cargo</v>
      </c>
      <c r="Y6" s="213" t="str">
        <f>J9</f>
        <v>Yfirflug</v>
      </c>
      <c r="AB6" s="213" t="str">
        <f>M9</f>
        <v>Hreyfingar</v>
      </c>
      <c r="AC6" s="213" t="str">
        <f>N9</f>
        <v>Cargo</v>
      </c>
      <c r="AD6" s="213" t="str">
        <f>O9</f>
        <v>Yfirflug</v>
      </c>
      <c r="AE6" s="213" t="str">
        <f>P9</f>
        <v>Farþegar</v>
      </c>
      <c r="AW6" s="1198"/>
      <c r="AX6" s="1199"/>
      <c r="AY6" s="862"/>
      <c r="AZ6" s="863"/>
      <c r="BA6" s="864"/>
      <c r="BB6" s="310"/>
      <c r="BC6" s="874"/>
      <c r="BD6" s="1208" t="s">
        <v>253</v>
      </c>
      <c r="BE6" s="1209"/>
      <c r="BF6" s="1209"/>
      <c r="BG6" s="1209"/>
      <c r="BH6" s="1209"/>
      <c r="BI6" s="1209"/>
    </row>
    <row r="7" spans="1:71" ht="25.25" x14ac:dyDescent="1.05">
      <c r="A7" s="1200"/>
      <c r="B7" s="1201"/>
      <c r="C7" s="311"/>
      <c r="D7" s="312"/>
      <c r="E7" s="313"/>
      <c r="F7" s="314"/>
      <c r="G7" s="315"/>
      <c r="H7" s="1206"/>
      <c r="I7" s="316"/>
      <c r="J7" s="316"/>
      <c r="K7" s="317"/>
      <c r="L7" s="318"/>
      <c r="M7" s="318"/>
      <c r="N7" s="318"/>
      <c r="O7" s="318"/>
      <c r="P7" s="319"/>
      <c r="Q7" s="319"/>
      <c r="R7" s="319"/>
      <c r="S7" s="319"/>
      <c r="U7">
        <v>2016</v>
      </c>
      <c r="V7" s="32">
        <f t="shared" ref="V7:Y12" si="0">INDEX($C$9:$F$101,MATCH($U7,$B$9:$B$101,0),MATCH(V$6,$C$9:$F$9,0))</f>
        <v>417309</v>
      </c>
      <c r="W7" s="32">
        <f t="shared" si="0"/>
        <v>63732</v>
      </c>
      <c r="X7" s="32">
        <f t="shared" si="0"/>
        <v>1061</v>
      </c>
      <c r="Y7" s="32">
        <f t="shared" si="0"/>
        <v>111733</v>
      </c>
      <c r="AA7">
        <v>2016</v>
      </c>
      <c r="AB7" s="32">
        <f t="shared" ref="AB7:AE12" si="1">INDEX($G$9:$J$101,MATCH($U7,$B$9:$B$101,0),MATCH(AB$6,$G$9:$J$9,0))</f>
        <v>28087</v>
      </c>
      <c r="AC7" s="32">
        <f t="shared" si="1"/>
        <v>432</v>
      </c>
      <c r="AD7" s="32">
        <f t="shared" si="1"/>
        <v>41565</v>
      </c>
      <c r="AE7" s="32">
        <f t="shared" si="1"/>
        <v>154074</v>
      </c>
      <c r="AW7" s="1200"/>
      <c r="AX7" s="1201"/>
      <c r="AY7" s="311"/>
      <c r="AZ7" s="312"/>
      <c r="BA7" s="313"/>
      <c r="BB7" s="315"/>
      <c r="BC7" s="316"/>
      <c r="BD7" s="317"/>
      <c r="BE7" s="318"/>
      <c r="BF7" s="318"/>
      <c r="BG7" s="318"/>
      <c r="BH7" s="319"/>
      <c r="BI7" s="319"/>
      <c r="BN7" s="1242" t="s">
        <v>555</v>
      </c>
      <c r="BO7" s="1243"/>
      <c r="BP7" s="1243"/>
      <c r="BQ7" s="1243"/>
    </row>
    <row r="8" spans="1:71" ht="14.25" customHeight="1" x14ac:dyDescent="0.65">
      <c r="A8" s="1178" t="s">
        <v>461</v>
      </c>
      <c r="B8" s="1179"/>
      <c r="C8" s="320"/>
      <c r="D8" s="321"/>
      <c r="E8" s="322"/>
      <c r="F8" s="321"/>
      <c r="G8" s="323"/>
      <c r="H8" s="1207"/>
      <c r="I8" s="316"/>
      <c r="J8" s="316"/>
      <c r="K8" s="324"/>
      <c r="L8" s="1211"/>
      <c r="M8" s="1212"/>
      <c r="N8" s="1212"/>
      <c r="O8" s="868"/>
      <c r="P8" s="325"/>
      <c r="Q8" s="325"/>
      <c r="R8" s="325"/>
      <c r="S8" s="325"/>
      <c r="U8">
        <v>2017</v>
      </c>
      <c r="V8" s="32">
        <f t="shared" si="0"/>
        <v>425515</v>
      </c>
      <c r="W8" s="32">
        <f t="shared" si="0"/>
        <v>64656</v>
      </c>
      <c r="X8" s="32">
        <f t="shared" si="0"/>
        <v>781</v>
      </c>
      <c r="Y8" s="32">
        <f t="shared" si="0"/>
        <v>120005</v>
      </c>
      <c r="AA8">
        <v>2017</v>
      </c>
      <c r="AB8" s="32">
        <f t="shared" si="1"/>
        <v>24184</v>
      </c>
      <c r="AC8" s="32">
        <f t="shared" si="1"/>
        <v>309</v>
      </c>
      <c r="AD8" s="32">
        <f t="shared" si="1"/>
        <v>43136</v>
      </c>
      <c r="AE8" s="32">
        <f t="shared" si="1"/>
        <v>156017</v>
      </c>
      <c r="AW8" s="1178" t="s">
        <v>461</v>
      </c>
      <c r="AX8" s="1179"/>
      <c r="AY8" s="320"/>
      <c r="AZ8" s="321"/>
      <c r="BA8" s="322"/>
      <c r="BB8" s="323"/>
      <c r="BC8" s="316"/>
      <c r="BD8" s="324"/>
      <c r="BE8" s="1211"/>
      <c r="BF8" s="1212"/>
      <c r="BG8" s="1212"/>
      <c r="BH8" s="325"/>
      <c r="BI8" s="325"/>
      <c r="BN8" s="877"/>
      <c r="BO8" s="878">
        <v>28</v>
      </c>
      <c r="BP8" s="879">
        <v>265</v>
      </c>
      <c r="BQ8" s="1239" t="s">
        <v>44</v>
      </c>
      <c r="BR8" s="1239" t="s">
        <v>556</v>
      </c>
      <c r="BS8" s="1239" t="s">
        <v>557</v>
      </c>
    </row>
    <row r="9" spans="1:71" ht="16.5" customHeight="1" x14ac:dyDescent="0.65">
      <c r="C9" s="869" t="s">
        <v>490</v>
      </c>
      <c r="D9" s="870" t="s">
        <v>558</v>
      </c>
      <c r="E9" s="871" t="s">
        <v>559</v>
      </c>
      <c r="F9" s="870" t="s">
        <v>560</v>
      </c>
      <c r="G9" s="326" t="s">
        <v>490</v>
      </c>
      <c r="H9" s="326" t="s">
        <v>558</v>
      </c>
      <c r="I9" s="326" t="s">
        <v>559</v>
      </c>
      <c r="J9" s="326" t="s">
        <v>560</v>
      </c>
      <c r="K9" s="327"/>
      <c r="L9" s="869" t="s">
        <v>490</v>
      </c>
      <c r="M9" s="870" t="s">
        <v>558</v>
      </c>
      <c r="N9" s="871" t="s">
        <v>559</v>
      </c>
      <c r="O9" s="870" t="s">
        <v>560</v>
      </c>
      <c r="P9" s="326" t="s">
        <v>490</v>
      </c>
      <c r="Q9" s="326" t="s">
        <v>558</v>
      </c>
      <c r="R9" s="326" t="s">
        <v>559</v>
      </c>
      <c r="S9" s="326" t="s">
        <v>560</v>
      </c>
      <c r="U9">
        <v>2018</v>
      </c>
      <c r="V9" s="32">
        <f t="shared" si="0"/>
        <v>394445</v>
      </c>
      <c r="W9" s="32">
        <f t="shared" si="0"/>
        <v>61220</v>
      </c>
      <c r="X9" s="32">
        <f t="shared" si="0"/>
        <v>753.5</v>
      </c>
      <c r="Y9" s="32">
        <f t="shared" si="0"/>
        <v>125073</v>
      </c>
      <c r="AA9">
        <v>2018</v>
      </c>
      <c r="AB9" s="32">
        <f t="shared" si="1"/>
        <v>21830</v>
      </c>
      <c r="AC9" s="32">
        <f t="shared" si="1"/>
        <v>305.39999999999998</v>
      </c>
      <c r="AD9" s="32">
        <f t="shared" si="1"/>
        <v>48584</v>
      </c>
      <c r="AE9" s="32">
        <f t="shared" si="1"/>
        <v>144444</v>
      </c>
      <c r="AP9" s="213" t="str">
        <f>G9</f>
        <v>Farþegar</v>
      </c>
      <c r="AQ9" s="213" t="str">
        <f>H9</f>
        <v>Hreyfingar</v>
      </c>
      <c r="AY9" s="869" t="s">
        <v>558</v>
      </c>
      <c r="AZ9" s="870" t="s">
        <v>83</v>
      </c>
      <c r="BA9" s="871" t="s">
        <v>464</v>
      </c>
      <c r="BB9" s="326" t="s">
        <v>558</v>
      </c>
      <c r="BC9" s="326" t="s">
        <v>464</v>
      </c>
      <c r="BD9" s="327"/>
      <c r="BE9" s="869" t="s">
        <v>558</v>
      </c>
      <c r="BF9" s="870" t="s">
        <v>6</v>
      </c>
      <c r="BG9" s="871" t="s">
        <v>464</v>
      </c>
      <c r="BH9" s="326" t="s">
        <v>558</v>
      </c>
      <c r="BI9" s="326" t="s">
        <v>464</v>
      </c>
      <c r="BN9" s="877" t="s">
        <v>561</v>
      </c>
      <c r="BO9" s="878" t="s">
        <v>562</v>
      </c>
      <c r="BP9" s="879" t="s">
        <v>563</v>
      </c>
      <c r="BQ9" s="1240"/>
      <c r="BR9" s="1240"/>
      <c r="BS9" s="1240"/>
    </row>
    <row r="10" spans="1:71" ht="15" thickBot="1" x14ac:dyDescent="0.8">
      <c r="A10" s="328"/>
      <c r="B10" s="329"/>
      <c r="C10" s="1184"/>
      <c r="D10" s="1185"/>
      <c r="E10" s="1185"/>
      <c r="F10" s="1241"/>
      <c r="G10" s="873" t="s">
        <v>465</v>
      </c>
      <c r="H10" s="330" t="s">
        <v>465</v>
      </c>
      <c r="I10" s="331"/>
      <c r="J10" s="331"/>
      <c r="K10" s="332"/>
      <c r="L10" s="1184"/>
      <c r="M10" s="1185"/>
      <c r="N10" s="1185"/>
      <c r="O10" s="1241"/>
      <c r="P10" s="873" t="s">
        <v>465</v>
      </c>
      <c r="Q10" s="330" t="s">
        <v>465</v>
      </c>
      <c r="R10" s="331"/>
      <c r="S10" s="331"/>
      <c r="U10">
        <v>2019</v>
      </c>
      <c r="V10" s="32">
        <f t="shared" si="0"/>
        <v>356428</v>
      </c>
      <c r="W10" s="32">
        <f t="shared" si="0"/>
        <v>62658</v>
      </c>
      <c r="X10" s="32">
        <f t="shared" si="0"/>
        <v>653.59999999999991</v>
      </c>
      <c r="Y10" s="32">
        <f t="shared" si="0"/>
        <v>124154</v>
      </c>
      <c r="AA10">
        <v>2019</v>
      </c>
      <c r="AB10" s="32">
        <f t="shared" si="1"/>
        <v>26979</v>
      </c>
      <c r="AC10" s="32">
        <f t="shared" si="1"/>
        <v>268</v>
      </c>
      <c r="AD10" s="32">
        <f t="shared" si="1"/>
        <v>44749</v>
      </c>
      <c r="AE10" s="32">
        <f t="shared" si="1"/>
        <v>138592</v>
      </c>
      <c r="AL10">
        <v>2016</v>
      </c>
      <c r="AO10">
        <v>2016</v>
      </c>
      <c r="AW10" s="328"/>
      <c r="AX10" s="329"/>
      <c r="AY10" s="416"/>
      <c r="AZ10" s="424" t="s">
        <v>564</v>
      </c>
      <c r="BA10" s="405" t="s">
        <v>565</v>
      </c>
      <c r="BB10" s="873" t="s">
        <v>465</v>
      </c>
      <c r="BC10" s="417" t="s">
        <v>565</v>
      </c>
      <c r="BD10" s="332"/>
      <c r="BE10" s="1184"/>
      <c r="BF10" s="1185"/>
      <c r="BG10" s="1185"/>
      <c r="BH10" s="873" t="s">
        <v>465</v>
      </c>
      <c r="BI10" s="331"/>
      <c r="BN10" s="422" t="s">
        <v>566</v>
      </c>
      <c r="BO10" s="423" t="s">
        <v>567</v>
      </c>
      <c r="BP10" s="423" t="s">
        <v>567</v>
      </c>
      <c r="BQ10" s="423" t="s">
        <v>567</v>
      </c>
      <c r="BR10" s="423" t="s">
        <v>568</v>
      </c>
      <c r="BS10" s="423" t="s">
        <v>569</v>
      </c>
    </row>
    <row r="11" spans="1:71" ht="14.25" customHeight="1" x14ac:dyDescent="0.65">
      <c r="A11" s="1226">
        <v>2016</v>
      </c>
      <c r="B11" s="333" t="s">
        <v>295</v>
      </c>
      <c r="C11" s="334">
        <v>26732</v>
      </c>
      <c r="D11" s="335">
        <v>5361</v>
      </c>
      <c r="E11" s="336">
        <v>63</v>
      </c>
      <c r="F11" s="335">
        <v>8113</v>
      </c>
      <c r="G11" s="337">
        <f>C11</f>
        <v>26732</v>
      </c>
      <c r="H11" s="337">
        <f>D11</f>
        <v>5361</v>
      </c>
      <c r="I11" s="337">
        <f>E11</f>
        <v>63</v>
      </c>
      <c r="J11" s="337">
        <f>F11</f>
        <v>8113</v>
      </c>
      <c r="K11" s="338"/>
      <c r="L11" s="339"/>
      <c r="M11" s="339"/>
      <c r="N11" s="339"/>
      <c r="O11" s="340"/>
      <c r="P11" s="340"/>
      <c r="Q11" s="340"/>
      <c r="R11" s="340"/>
      <c r="S11" s="340"/>
      <c r="U11">
        <v>2020</v>
      </c>
      <c r="V11" s="32">
        <f t="shared" si="0"/>
        <v>164214</v>
      </c>
      <c r="W11" s="32">
        <f t="shared" si="0"/>
        <v>40561</v>
      </c>
      <c r="X11" s="32">
        <f t="shared" si="0"/>
        <v>480.5</v>
      </c>
      <c r="Y11" s="32">
        <f t="shared" si="0"/>
        <v>55916</v>
      </c>
      <c r="AA11">
        <v>2020</v>
      </c>
      <c r="AB11" s="32">
        <f t="shared" si="1"/>
        <v>15275</v>
      </c>
      <c r="AC11" s="32">
        <f t="shared" si="1"/>
        <v>197</v>
      </c>
      <c r="AD11" s="32">
        <f t="shared" si="1"/>
        <v>28929</v>
      </c>
      <c r="AE11" s="32">
        <f t="shared" si="1"/>
        <v>66619</v>
      </c>
      <c r="AL11">
        <f t="shared" ref="AL11:AL42" si="2">AL10+$AL$2</f>
        <v>2016.0769230769231</v>
      </c>
      <c r="AO11">
        <f>AO10+$AO$2</f>
        <v>2016.0833333333333</v>
      </c>
      <c r="AW11" s="1226">
        <v>2016</v>
      </c>
      <c r="AX11" s="880" t="s">
        <v>570</v>
      </c>
      <c r="AY11" s="334">
        <v>18041</v>
      </c>
      <c r="AZ11" s="335">
        <f>INDEX($BK$16:$BL$19,MATCH($AX11,$BK$16:$BK$19,0),2)</f>
        <v>130</v>
      </c>
      <c r="BA11" s="336">
        <f>AY11/2*AZ11*$BS$13/10^3</f>
        <v>3670.8071048985767</v>
      </c>
      <c r="BB11" s="337">
        <f>AY11</f>
        <v>18041</v>
      </c>
      <c r="BC11" s="337">
        <f>BA11</f>
        <v>3670.8071048985767</v>
      </c>
      <c r="BD11" s="338"/>
      <c r="BE11" s="339"/>
      <c r="BF11" s="339"/>
      <c r="BG11" s="339"/>
      <c r="BH11" s="340"/>
      <c r="BI11" s="340"/>
      <c r="BK11" s="895" t="s">
        <v>571</v>
      </c>
      <c r="BL11" s="896"/>
      <c r="BM11" s="896"/>
      <c r="BN11" s="897" t="s">
        <v>572</v>
      </c>
      <c r="BO11" s="897" t="s">
        <v>572</v>
      </c>
      <c r="BP11" s="897" t="s">
        <v>572</v>
      </c>
      <c r="BQ11" s="897" t="s">
        <v>572</v>
      </c>
      <c r="BR11" s="897" t="s">
        <v>572</v>
      </c>
      <c r="BS11" s="897" t="s">
        <v>572</v>
      </c>
    </row>
    <row r="12" spans="1:71" ht="14.25" x14ac:dyDescent="0.65">
      <c r="A12" s="1161"/>
      <c r="B12" s="341" t="s">
        <v>299</v>
      </c>
      <c r="C12" s="342">
        <v>29502</v>
      </c>
      <c r="D12" s="343">
        <v>6654</v>
      </c>
      <c r="E12" s="344">
        <v>86</v>
      </c>
      <c r="F12" s="343">
        <v>7876</v>
      </c>
      <c r="G12" s="345">
        <f>SUM(C11:C12)</f>
        <v>56234</v>
      </c>
      <c r="H12" s="345">
        <f>SUM(D11:D12)</f>
        <v>12015</v>
      </c>
      <c r="I12" s="345">
        <f>SUM(E11:E12)</f>
        <v>149</v>
      </c>
      <c r="J12" s="345">
        <f>SUM(F11:F12)</f>
        <v>15989</v>
      </c>
      <c r="K12" s="338"/>
      <c r="L12" s="339"/>
      <c r="M12" s="339"/>
      <c r="N12" s="339"/>
      <c r="O12" s="346"/>
      <c r="P12" s="346"/>
      <c r="Q12" s="346"/>
      <c r="R12" s="346"/>
      <c r="S12" s="346"/>
      <c r="U12">
        <v>2021</v>
      </c>
      <c r="V12" s="32">
        <f t="shared" si="0"/>
        <v>296812</v>
      </c>
      <c r="W12" s="32">
        <f t="shared" si="0"/>
        <v>50616</v>
      </c>
      <c r="X12" s="32">
        <f t="shared" si="0"/>
        <v>582.79999999999995</v>
      </c>
      <c r="Y12" s="32">
        <f t="shared" si="0"/>
        <v>69215</v>
      </c>
      <c r="AA12">
        <v>2021</v>
      </c>
      <c r="AB12" s="32">
        <f t="shared" si="1"/>
        <v>22090</v>
      </c>
      <c r="AC12" s="32">
        <f t="shared" si="1"/>
        <v>192.7</v>
      </c>
      <c r="AD12" s="32">
        <f t="shared" si="1"/>
        <v>21016</v>
      </c>
      <c r="AE12" s="32">
        <f t="shared" si="1"/>
        <v>92358</v>
      </c>
      <c r="AL12">
        <f t="shared" si="2"/>
        <v>2016.1538461538462</v>
      </c>
      <c r="AO12">
        <f t="shared" ref="AO12:AO75" si="3">AO11+$AO$2</f>
        <v>2016.1666666666665</v>
      </c>
      <c r="AW12" s="1161"/>
      <c r="AX12" s="881" t="s">
        <v>573</v>
      </c>
      <c r="AY12" s="342">
        <v>5617</v>
      </c>
      <c r="AZ12" s="343">
        <f>INDEX($BK$16:$BL$19,MATCH($AX12,$BK$16:$BK$19,0),2)</f>
        <v>110</v>
      </c>
      <c r="BA12" s="344">
        <f>AY12/2*AZ12*$BS$13/10^3</f>
        <v>967.06288066228785</v>
      </c>
      <c r="BB12" s="345">
        <f>SUM(AY11:AY12)</f>
        <v>23658</v>
      </c>
      <c r="BC12" s="345">
        <f>SUM(BA11:BA12)</f>
        <v>4637.8699855608647</v>
      </c>
      <c r="BD12" s="338"/>
      <c r="BE12" s="339"/>
      <c r="BF12" s="339"/>
      <c r="BG12" s="339"/>
      <c r="BH12" s="346"/>
      <c r="BI12" s="346"/>
      <c r="BK12" s="898" t="s">
        <v>574</v>
      </c>
      <c r="BL12" s="899">
        <v>3.13</v>
      </c>
      <c r="BM12" s="896"/>
      <c r="BN12" s="896">
        <v>70.03197445184658</v>
      </c>
      <c r="BO12" s="896">
        <v>0.49996766056529002</v>
      </c>
      <c r="BP12" s="896">
        <v>1.9999353211305899</v>
      </c>
      <c r="BQ12" s="896">
        <f>BN12*1000+BO12*$BO$8+BP12*$BP$8</f>
        <v>70575.956406442012</v>
      </c>
      <c r="BR12" s="896">
        <v>44.36</v>
      </c>
      <c r="BS12" s="900">
        <f>BQ12*BR12*10^-6</f>
        <v>3.1307494261897677</v>
      </c>
    </row>
    <row r="13" spans="1:71" ht="14.25" x14ac:dyDescent="0.65">
      <c r="A13" s="1161"/>
      <c r="B13" s="341" t="s">
        <v>303</v>
      </c>
      <c r="C13" s="342">
        <v>32035</v>
      </c>
      <c r="D13" s="343">
        <v>4058</v>
      </c>
      <c r="E13" s="344">
        <v>98</v>
      </c>
      <c r="F13" s="343">
        <v>8085</v>
      </c>
      <c r="G13" s="345">
        <f>SUM(C11:C13)</f>
        <v>88269</v>
      </c>
      <c r="H13" s="345">
        <f>SUM(D11:D13)</f>
        <v>16073</v>
      </c>
      <c r="I13" s="345">
        <f>SUM(E11:E13)</f>
        <v>247</v>
      </c>
      <c r="J13" s="345">
        <f>SUM(F11:F13)</f>
        <v>24074</v>
      </c>
      <c r="K13" s="347"/>
      <c r="L13" s="339"/>
      <c r="M13" s="339"/>
      <c r="N13" s="339"/>
      <c r="O13" s="339"/>
      <c r="P13" s="339"/>
      <c r="Q13" s="339"/>
      <c r="R13" s="339"/>
      <c r="S13" s="339"/>
      <c r="U13">
        <v>2022</v>
      </c>
      <c r="V13" s="32">
        <f>INDEX($C$9:$F$101,MATCH($U13,$B$9:$B$101,0),MATCH(V$6,$C$9:$F$9,0))</f>
        <v>348813</v>
      </c>
      <c r="W13" s="32">
        <f t="shared" ref="W13:Y13" si="4">INDEX($C$9:$F$101,MATCH($U13,$B$9:$B$101,0),MATCH(W$6,$C$9:$F$9,0))</f>
        <v>42731</v>
      </c>
      <c r="X13" s="32">
        <f t="shared" si="4"/>
        <v>709.99999999999989</v>
      </c>
      <c r="Y13" s="32">
        <f t="shared" si="4"/>
        <v>108781</v>
      </c>
      <c r="AA13">
        <v>2022</v>
      </c>
      <c r="AB13" s="32">
        <f>INDEX($G$9:$J$101,MATCH($U13,$B$9:$B$101,0),MATCH(AB$6,$G$9:$J$9,0))</f>
        <v>13873</v>
      </c>
      <c r="AC13" s="32">
        <f t="shared" ref="AC13:AE13" si="5">INDEX($G$9:$J$101,MATCH($U13,$B$9:$B$101,0),MATCH(AC$6,$G$9:$J$9,0))</f>
        <v>248.2</v>
      </c>
      <c r="AD13" s="32">
        <f t="shared" si="5"/>
        <v>37896</v>
      </c>
      <c r="AE13" s="32">
        <f t="shared" si="5"/>
        <v>121660</v>
      </c>
      <c r="AL13">
        <f t="shared" si="2"/>
        <v>2016.2307692307693</v>
      </c>
      <c r="AO13">
        <f t="shared" si="3"/>
        <v>2016.2499999999998</v>
      </c>
      <c r="AW13" s="1161"/>
      <c r="AX13" s="881" t="s">
        <v>575</v>
      </c>
      <c r="AY13" s="342">
        <v>37038</v>
      </c>
      <c r="AZ13" s="399">
        <f>INDEX($BK$16:$BL$19,MATCH($AX13,$BK$16:$BK$19,0),2)</f>
        <v>3.5</v>
      </c>
      <c r="BA13" s="344">
        <f>AY13/2*AZ13*$BS$13/10^3</f>
        <v>202.89585577693424</v>
      </c>
      <c r="BB13" s="345">
        <f>SUM(AY11:AY13)</f>
        <v>60696</v>
      </c>
      <c r="BC13" s="345">
        <f>SUM(BA11:BA13)</f>
        <v>4840.7658413377994</v>
      </c>
      <c r="BD13" s="347"/>
      <c r="BE13" s="339"/>
      <c r="BF13" s="339"/>
      <c r="BG13" s="339"/>
      <c r="BH13" s="339"/>
      <c r="BI13" s="339"/>
      <c r="BK13" s="901" t="s">
        <v>576</v>
      </c>
      <c r="BL13" s="899"/>
      <c r="BM13" s="896"/>
      <c r="BN13" s="896">
        <v>71.5</v>
      </c>
      <c r="BO13" s="896">
        <v>0.50000106487426998</v>
      </c>
      <c r="BP13" s="896">
        <v>2.0000012169991699</v>
      </c>
      <c r="BQ13" s="896">
        <f>BN13*1000+BO13*$BO$8+BP13*$BP$8</f>
        <v>72044.000352321265</v>
      </c>
      <c r="BR13" s="896">
        <v>43.45</v>
      </c>
      <c r="BS13" s="900">
        <f>BQ13*BR13*10^-6</f>
        <v>3.1303118153083589</v>
      </c>
    </row>
    <row r="14" spans="1:71" ht="14.25" x14ac:dyDescent="0.65">
      <c r="A14" s="1161"/>
      <c r="B14" s="341" t="s">
        <v>306</v>
      </c>
      <c r="C14" s="342">
        <v>32146</v>
      </c>
      <c r="D14" s="343">
        <v>6141</v>
      </c>
      <c r="E14" s="344">
        <v>92</v>
      </c>
      <c r="F14" s="343">
        <v>8273</v>
      </c>
      <c r="G14" s="345">
        <f>SUM(C11:C14)</f>
        <v>120415</v>
      </c>
      <c r="H14" s="345">
        <f>SUM(D11:D14)</f>
        <v>22214</v>
      </c>
      <c r="I14" s="345">
        <f>SUM(E11:E14)</f>
        <v>339</v>
      </c>
      <c r="J14" s="345">
        <f>SUM(F11:F14)</f>
        <v>32347</v>
      </c>
      <c r="K14" s="347"/>
      <c r="L14" s="339"/>
      <c r="M14" s="339"/>
      <c r="N14" s="339"/>
      <c r="O14" s="339"/>
      <c r="P14" s="339"/>
      <c r="Q14" s="339"/>
      <c r="R14" s="339"/>
      <c r="S14" s="339"/>
      <c r="AL14">
        <f t="shared" si="2"/>
        <v>2016.3076923076924</v>
      </c>
      <c r="AO14">
        <f t="shared" si="3"/>
        <v>2016.333333333333</v>
      </c>
      <c r="AW14" s="1161"/>
      <c r="AX14" s="881" t="s">
        <v>577</v>
      </c>
      <c r="AY14" s="342">
        <f>SUM(AY11:AY13)</f>
        <v>60696</v>
      </c>
      <c r="AZ14" s="343"/>
      <c r="BA14" s="344">
        <f>SUM(BA11:BA13)</f>
        <v>4840.7658413377994</v>
      </c>
      <c r="BB14" s="345">
        <f>SUM(AY11:AY13)</f>
        <v>60696</v>
      </c>
      <c r="BC14" s="345">
        <f>SUM(BA11:BA13)</f>
        <v>4840.7658413377994</v>
      </c>
      <c r="BD14" s="347"/>
      <c r="BE14" s="339"/>
      <c r="BF14" s="339"/>
      <c r="BG14" s="339"/>
      <c r="BH14" s="339"/>
      <c r="BI14" s="339"/>
      <c r="BK14" s="901" t="s">
        <v>578</v>
      </c>
      <c r="BL14" s="899"/>
      <c r="BM14" s="896" t="s">
        <v>572</v>
      </c>
      <c r="BN14" s="896" t="s">
        <v>579</v>
      </c>
      <c r="BO14" s="896" t="s">
        <v>579</v>
      </c>
      <c r="BP14" s="896" t="s">
        <v>579</v>
      </c>
      <c r="BQ14" s="896"/>
      <c r="BR14" s="896"/>
      <c r="BS14" s="896"/>
    </row>
    <row r="15" spans="1:71" ht="14.25" x14ac:dyDescent="0.65">
      <c r="A15" s="1161"/>
      <c r="B15" s="341" t="s">
        <v>310</v>
      </c>
      <c r="C15" s="342">
        <v>33659</v>
      </c>
      <c r="D15" s="343">
        <v>5873</v>
      </c>
      <c r="E15" s="344">
        <v>93</v>
      </c>
      <c r="F15" s="343">
        <v>9218</v>
      </c>
      <c r="G15" s="345">
        <f>SUM(C11:C15)</f>
        <v>154074</v>
      </c>
      <c r="H15" s="345">
        <f>SUM(D11:D15)</f>
        <v>28087</v>
      </c>
      <c r="I15" s="345">
        <f>SUM(E11:E15)</f>
        <v>432</v>
      </c>
      <c r="J15" s="345">
        <f>SUM(F11:F15)</f>
        <v>41565</v>
      </c>
      <c r="K15" s="347"/>
      <c r="L15" s="339"/>
      <c r="M15" s="339"/>
      <c r="N15" s="339"/>
      <c r="O15" s="339"/>
      <c r="P15" s="339"/>
      <c r="Q15" s="339"/>
      <c r="R15" s="339"/>
      <c r="S15" s="339"/>
      <c r="V15" s="213" t="str">
        <f>G9</f>
        <v>Farþegar</v>
      </c>
      <c r="W15" s="213" t="str">
        <f>H9</f>
        <v>Hreyfingar</v>
      </c>
      <c r="X15" s="213" t="str">
        <f>I9</f>
        <v>Cargo</v>
      </c>
      <c r="Y15" s="213" t="str">
        <f>J9</f>
        <v>Yfirflug</v>
      </c>
      <c r="AB15" s="213" t="str">
        <f>M9</f>
        <v>Hreyfingar</v>
      </c>
      <c r="AC15" s="213" t="str">
        <f>N9</f>
        <v>Cargo</v>
      </c>
      <c r="AD15" s="213" t="str">
        <f>O9</f>
        <v>Yfirflug</v>
      </c>
      <c r="AE15" s="213" t="str">
        <f>P9</f>
        <v>Farþegar</v>
      </c>
      <c r="AL15">
        <f t="shared" si="2"/>
        <v>2016.3846153846155</v>
      </c>
      <c r="AO15">
        <f t="shared" si="3"/>
        <v>2016.4166666666663</v>
      </c>
      <c r="AW15" s="1161"/>
      <c r="AX15" s="881" t="s">
        <v>570</v>
      </c>
      <c r="AY15" s="342">
        <v>1190</v>
      </c>
      <c r="AZ15" s="343">
        <f>INDEX($BK$16:$BL$19,MATCH($AX15,$BK$16:$BK$19,0),2)</f>
        <v>130</v>
      </c>
      <c r="BA15" s="344">
        <f>AY15/2*AZ15*$BS$13/10^3</f>
        <v>242.12961891410157</v>
      </c>
      <c r="BB15" s="345">
        <f>SUM(AY15)</f>
        <v>1190</v>
      </c>
      <c r="BC15" s="345">
        <f>SUM(BA15)</f>
        <v>242.12961891410157</v>
      </c>
      <c r="BD15" s="347"/>
      <c r="BE15" s="339"/>
      <c r="BF15" s="339"/>
      <c r="BG15" s="339"/>
      <c r="BH15" s="339"/>
      <c r="BI15" s="339"/>
    </row>
    <row r="16" spans="1:71" ht="14.25" x14ac:dyDescent="0.65">
      <c r="A16" s="1161"/>
      <c r="B16" s="341" t="s">
        <v>314</v>
      </c>
      <c r="C16" s="342">
        <v>39204</v>
      </c>
      <c r="D16" s="343">
        <v>6108</v>
      </c>
      <c r="E16" s="344">
        <v>97</v>
      </c>
      <c r="F16" s="343">
        <v>9912</v>
      </c>
      <c r="G16" s="345">
        <f>SUM(C11:C16)</f>
        <v>193278</v>
      </c>
      <c r="H16" s="345">
        <f>SUM(D11:D16)</f>
        <v>34195</v>
      </c>
      <c r="I16" s="345">
        <f>SUM(E11:E16)</f>
        <v>529</v>
      </c>
      <c r="J16" s="345">
        <f>SUM(F11:F16)</f>
        <v>51477</v>
      </c>
      <c r="K16" s="347"/>
      <c r="L16" s="339"/>
      <c r="M16" s="339"/>
      <c r="N16" s="339"/>
      <c r="O16" s="339"/>
      <c r="P16" s="339"/>
      <c r="Q16" s="339"/>
      <c r="R16" s="339"/>
      <c r="S16" s="339"/>
      <c r="V16" s="32"/>
      <c r="W16" s="32"/>
      <c r="X16" s="32"/>
      <c r="Y16" s="32"/>
      <c r="AB16" s="32"/>
      <c r="AC16" s="32"/>
      <c r="AD16" s="32"/>
      <c r="AE16" s="32"/>
      <c r="AL16">
        <f t="shared" si="2"/>
        <v>2016.4615384615386</v>
      </c>
      <c r="AO16">
        <f t="shared" si="3"/>
        <v>2016.4999999999995</v>
      </c>
      <c r="AW16" s="1161"/>
      <c r="AX16" s="881" t="s">
        <v>573</v>
      </c>
      <c r="AY16" s="342">
        <v>1846</v>
      </c>
      <c r="AZ16" s="343">
        <f>INDEX($BK$16:$BL$19,MATCH($AX16,$BK$16:$BK$19,0),2)</f>
        <v>110</v>
      </c>
      <c r="BA16" s="344">
        <f>AY16/2*AZ16*$BS$13/10^3</f>
        <v>317.82055860825767</v>
      </c>
      <c r="BB16" s="345">
        <f>SUM(AY15:AY16)</f>
        <v>3036</v>
      </c>
      <c r="BC16" s="345">
        <f>SUM(BA15:BA16)</f>
        <v>559.95017752235924</v>
      </c>
      <c r="BD16" s="347"/>
      <c r="BE16" s="339"/>
      <c r="BF16" s="339"/>
      <c r="BG16" s="339"/>
      <c r="BH16" s="339"/>
      <c r="BI16" s="339"/>
      <c r="BK16" s="901"/>
      <c r="BL16" s="901" t="s">
        <v>580</v>
      </c>
    </row>
    <row r="17" spans="1:64" ht="14.25" x14ac:dyDescent="0.65">
      <c r="A17" s="1161"/>
      <c r="B17" s="341" t="s">
        <v>316</v>
      </c>
      <c r="C17" s="342">
        <v>47875</v>
      </c>
      <c r="D17" s="343">
        <v>6881</v>
      </c>
      <c r="E17" s="344">
        <v>94</v>
      </c>
      <c r="F17" s="343">
        <v>11589</v>
      </c>
      <c r="G17" s="345">
        <f>SUM(C11:C17)</f>
        <v>241153</v>
      </c>
      <c r="H17" s="345">
        <f>SUM(D11:D17)</f>
        <v>41076</v>
      </c>
      <c r="I17" s="345">
        <f>SUM(E11:E17)</f>
        <v>623</v>
      </c>
      <c r="J17" s="345">
        <f>SUM(F11:F17)</f>
        <v>63066</v>
      </c>
      <c r="K17" s="347"/>
      <c r="L17" s="339"/>
      <c r="M17" s="339"/>
      <c r="N17" s="339"/>
      <c r="O17" s="339"/>
      <c r="P17" s="339"/>
      <c r="Q17" s="339"/>
      <c r="R17" s="339"/>
      <c r="S17" s="339"/>
      <c r="U17">
        <v>2017</v>
      </c>
      <c r="V17" s="123">
        <f t="shared" ref="V17:Y21" si="6">INDEX($L$24:$O$101,MATCH($U17,$B$24:$B$101,0),MATCH(V$15,$L$9:$O$9,0))</f>
        <v>1.9664085845260946E-2</v>
      </c>
      <c r="W17" s="123">
        <f t="shared" si="6"/>
        <v>1.4498211259649783E-2</v>
      </c>
      <c r="X17" s="123">
        <f t="shared" si="6"/>
        <v>-0.26390197926484449</v>
      </c>
      <c r="Y17" s="123">
        <f t="shared" si="6"/>
        <v>7.4033633751890662E-2</v>
      </c>
      <c r="AA17">
        <v>2017</v>
      </c>
      <c r="AB17" s="123">
        <f t="shared" ref="AB17:AE21" si="7">INDEX($P$24:$S$101,MATCH($U17,$B$24:$B$101,0),MATCH(AB$15,$P$9:$S$9,0))</f>
        <v>-0.13896108519955852</v>
      </c>
      <c r="AC17" s="123">
        <f t="shared" si="7"/>
        <v>-0.28472222222222221</v>
      </c>
      <c r="AD17" s="123">
        <f t="shared" si="7"/>
        <v>3.7796222783591966E-2</v>
      </c>
      <c r="AE17" s="123">
        <f t="shared" si="7"/>
        <v>1.2610823370588159E-2</v>
      </c>
      <c r="AL17">
        <f t="shared" si="2"/>
        <v>2016.5384615384617</v>
      </c>
      <c r="AO17">
        <f t="shared" si="3"/>
        <v>2016.5833333333328</v>
      </c>
      <c r="AW17" s="1161"/>
      <c r="AX17" s="881" t="s">
        <v>581</v>
      </c>
      <c r="AY17" s="342">
        <f>AY16+AY15</f>
        <v>3036</v>
      </c>
      <c r="AZ17" s="343"/>
      <c r="BA17" s="344">
        <f>SUM(BA15:BA16)</f>
        <v>559.95017752235924</v>
      </c>
      <c r="BB17" s="345">
        <f>SUM(AY17)</f>
        <v>3036</v>
      </c>
      <c r="BC17" s="345">
        <f>SUM(BA17)</f>
        <v>559.95017752235924</v>
      </c>
      <c r="BD17" s="347"/>
      <c r="BE17" s="339"/>
      <c r="BF17" s="339"/>
      <c r="BG17" s="339"/>
      <c r="BH17" s="339"/>
      <c r="BI17" s="339"/>
      <c r="BK17" s="901" t="s">
        <v>570</v>
      </c>
      <c r="BL17" s="901">
        <v>130</v>
      </c>
    </row>
    <row r="18" spans="1:64" ht="14.25" x14ac:dyDescent="0.65">
      <c r="A18" s="1161"/>
      <c r="B18" s="341" t="s">
        <v>319</v>
      </c>
      <c r="C18" s="342">
        <v>46951</v>
      </c>
      <c r="D18" s="343">
        <v>7335</v>
      </c>
      <c r="E18" s="344">
        <v>112</v>
      </c>
      <c r="F18" s="343">
        <v>10982</v>
      </c>
      <c r="G18" s="345">
        <f>SUM(C11:C18)</f>
        <v>288104</v>
      </c>
      <c r="H18" s="345">
        <f>SUM(D11:D18)</f>
        <v>48411</v>
      </c>
      <c r="I18" s="345">
        <f>SUM(E11:E18)</f>
        <v>735</v>
      </c>
      <c r="J18" s="345">
        <f>SUM(F11:F18)</f>
        <v>74048</v>
      </c>
      <c r="K18" s="347"/>
      <c r="L18" s="339"/>
      <c r="M18" s="339"/>
      <c r="N18" s="339"/>
      <c r="O18" s="339"/>
      <c r="P18" s="339"/>
      <c r="Q18" s="339"/>
      <c r="R18" s="339"/>
      <c r="S18" s="339"/>
      <c r="U18">
        <v>2018</v>
      </c>
      <c r="V18" s="123">
        <f t="shared" si="6"/>
        <v>-7.3017402441747065E-2</v>
      </c>
      <c r="W18" s="123">
        <f t="shared" si="6"/>
        <v>-5.314278643900025E-2</v>
      </c>
      <c r="X18" s="123">
        <f t="shared" si="6"/>
        <v>-3.5211267605633804E-2</v>
      </c>
      <c r="Y18" s="123">
        <f t="shared" si="6"/>
        <v>4.2231573684429813E-2</v>
      </c>
      <c r="AA18">
        <v>2018</v>
      </c>
      <c r="AB18" s="123">
        <f t="shared" si="7"/>
        <v>-9.7337082368508104E-2</v>
      </c>
      <c r="AC18" s="123">
        <f t="shared" si="7"/>
        <v>-1.1650485436893277E-2</v>
      </c>
      <c r="AD18" s="123">
        <f t="shared" si="7"/>
        <v>0.12629821958456974</v>
      </c>
      <c r="AE18" s="123">
        <f t="shared" si="7"/>
        <v>-7.4177813956171443E-2</v>
      </c>
      <c r="AL18">
        <f t="shared" si="2"/>
        <v>2016.6153846153848</v>
      </c>
      <c r="AO18">
        <f t="shared" si="3"/>
        <v>2016.6666666666661</v>
      </c>
      <c r="AW18" s="1161"/>
      <c r="AX18" s="882" t="s">
        <v>570</v>
      </c>
      <c r="AY18" s="421">
        <f>AY11+AY15</f>
        <v>19231</v>
      </c>
      <c r="AZ18" s="343">
        <f>INDEX($BK$16:$BL$19,MATCH($AX18,$BK$16:$BK$19,0),2)</f>
        <v>130</v>
      </c>
      <c r="BA18" s="344">
        <f>AY18/2*AZ18*$BS$13/10^3</f>
        <v>3912.9367238126783</v>
      </c>
      <c r="BB18" s="345">
        <f>SUM(AY18)</f>
        <v>19231</v>
      </c>
      <c r="BC18" s="345">
        <f>SUM(BA18)</f>
        <v>3912.9367238126783</v>
      </c>
      <c r="BD18" s="347"/>
      <c r="BE18" s="339"/>
      <c r="BF18" s="339"/>
      <c r="BG18" s="339"/>
      <c r="BH18" s="339"/>
      <c r="BI18" s="339"/>
      <c r="BK18" s="901" t="s">
        <v>573</v>
      </c>
      <c r="BL18" s="901">
        <v>110</v>
      </c>
    </row>
    <row r="19" spans="1:64" ht="16.5" customHeight="1" x14ac:dyDescent="0.65">
      <c r="A19" s="1161"/>
      <c r="B19" s="341" t="s">
        <v>321</v>
      </c>
      <c r="C19" s="342">
        <v>41298</v>
      </c>
      <c r="D19" s="343">
        <v>5519</v>
      </c>
      <c r="E19" s="344">
        <v>86</v>
      </c>
      <c r="F19" s="343">
        <v>11002</v>
      </c>
      <c r="G19" s="345">
        <f>SUM(C11:C19)</f>
        <v>329402</v>
      </c>
      <c r="H19" s="345">
        <f>SUM(D11:D19)</f>
        <v>53930</v>
      </c>
      <c r="I19" s="345">
        <f>SUM(E11:E19)</f>
        <v>821</v>
      </c>
      <c r="J19" s="345">
        <f>SUM(F11:F19)</f>
        <v>85050</v>
      </c>
      <c r="K19" s="324"/>
      <c r="L19" s="348"/>
      <c r="M19" s="348"/>
      <c r="N19" s="348"/>
      <c r="O19" s="348"/>
      <c r="P19" s="348"/>
      <c r="Q19" s="348"/>
      <c r="R19" s="348"/>
      <c r="S19" s="348"/>
      <c r="U19">
        <v>2019</v>
      </c>
      <c r="V19" s="123">
        <f t="shared" si="6"/>
        <v>-9.638099101268871E-2</v>
      </c>
      <c r="W19" s="123">
        <f t="shared" si="6"/>
        <v>2.3489055864096699E-2</v>
      </c>
      <c r="X19" s="123">
        <f t="shared" si="6"/>
        <v>-0.13258128732581301</v>
      </c>
      <c r="Y19" s="123">
        <f t="shared" si="6"/>
        <v>-7.3477089379802192E-3</v>
      </c>
      <c r="AA19">
        <v>2019</v>
      </c>
      <c r="AB19" s="123">
        <f t="shared" si="7"/>
        <v>0.2358680714612918</v>
      </c>
      <c r="AC19" s="123">
        <f t="shared" si="7"/>
        <v>-0.12246234446627367</v>
      </c>
      <c r="AD19" s="123">
        <f t="shared" si="7"/>
        <v>-7.8935452000658657E-2</v>
      </c>
      <c r="AE19" s="123">
        <f t="shared" si="7"/>
        <v>-4.0513970812217887E-2</v>
      </c>
      <c r="AL19">
        <f t="shared" si="2"/>
        <v>2016.6923076923078</v>
      </c>
      <c r="AO19">
        <f t="shared" si="3"/>
        <v>2016.7499999999993</v>
      </c>
      <c r="AW19" s="1161"/>
      <c r="AX19" s="882" t="s">
        <v>573</v>
      </c>
      <c r="AY19" s="421">
        <f>AY12+AY16</f>
        <v>7463</v>
      </c>
      <c r="AZ19" s="343">
        <f>INDEX($BK$16:$BL$19,MATCH($AX19,$BK$16:$BK$19,0),2)</f>
        <v>110</v>
      </c>
      <c r="BA19" s="344">
        <f>AY19/2*AZ19*$BS$13/10^3</f>
        <v>1284.8834392705455</v>
      </c>
      <c r="BB19" s="345">
        <f>SUM(AY18:AY19)</f>
        <v>26694</v>
      </c>
      <c r="BC19" s="345">
        <f>SUM(BA18:BA19)</f>
        <v>5197.8201630832236</v>
      </c>
      <c r="BD19" s="347"/>
      <c r="BE19" s="339"/>
      <c r="BF19" s="339"/>
      <c r="BG19" s="339"/>
      <c r="BH19" s="339"/>
      <c r="BI19" s="339"/>
      <c r="BK19" s="901" t="s">
        <v>575</v>
      </c>
      <c r="BL19" s="901">
        <v>3.5</v>
      </c>
    </row>
    <row r="20" spans="1:64" ht="15" thickBot="1" x14ac:dyDescent="0.8">
      <c r="A20" s="1161"/>
      <c r="B20" s="341" t="s">
        <v>323</v>
      </c>
      <c r="C20" s="342">
        <v>33758</v>
      </c>
      <c r="D20" s="343">
        <v>3899</v>
      </c>
      <c r="E20" s="344">
        <v>96</v>
      </c>
      <c r="F20" s="343">
        <v>9509</v>
      </c>
      <c r="G20" s="345">
        <f>SUM(C11:C20)</f>
        <v>363160</v>
      </c>
      <c r="H20" s="345">
        <f>SUM(D11:D20)</f>
        <v>57829</v>
      </c>
      <c r="I20" s="345">
        <f>SUM(E11:E20)</f>
        <v>917</v>
      </c>
      <c r="J20" s="345">
        <f>SUM(F11:F20)</f>
        <v>94559</v>
      </c>
      <c r="K20" s="324"/>
      <c r="L20" s="348"/>
      <c r="M20" s="348"/>
      <c r="N20" s="348"/>
      <c r="O20" s="348"/>
      <c r="P20" s="348"/>
      <c r="Q20" s="348"/>
      <c r="R20" s="348"/>
      <c r="S20" s="348"/>
      <c r="U20">
        <v>2020</v>
      </c>
      <c r="V20" s="123">
        <f t="shared" si="6"/>
        <v>-0.53927862008596406</v>
      </c>
      <c r="W20" s="123">
        <f t="shared" si="6"/>
        <v>-0.35266047432091674</v>
      </c>
      <c r="X20" s="123">
        <f t="shared" si="6"/>
        <v>-0.26484088127294969</v>
      </c>
      <c r="Y20" s="123">
        <f t="shared" si="6"/>
        <v>-0.54962385424553373</v>
      </c>
      <c r="AA20">
        <v>2020</v>
      </c>
      <c r="AB20" s="123">
        <f t="shared" si="7"/>
        <v>-0.43381889617850922</v>
      </c>
      <c r="AC20" s="123">
        <f t="shared" si="7"/>
        <v>-0.26492537313432835</v>
      </c>
      <c r="AD20" s="123">
        <f t="shared" si="7"/>
        <v>-0.35352745312744421</v>
      </c>
      <c r="AE20" s="123">
        <f t="shared" si="7"/>
        <v>-0.51931568921727089</v>
      </c>
      <c r="AL20">
        <f t="shared" si="2"/>
        <v>2016.7692307692309</v>
      </c>
      <c r="AO20">
        <f t="shared" si="3"/>
        <v>2016.8333333333326</v>
      </c>
      <c r="AW20" s="1162"/>
      <c r="AX20" s="882" t="s">
        <v>575</v>
      </c>
      <c r="AY20" s="421">
        <f>AY13</f>
        <v>37038</v>
      </c>
      <c r="AZ20" s="399">
        <f>INDEX($BK$16:$BL$19,MATCH($AX20,$BK$16:$BK$19,0),2)</f>
        <v>3.5</v>
      </c>
      <c r="BA20" s="344">
        <f>AY20/2*AZ20*$BS$13/10^3</f>
        <v>202.89585577693424</v>
      </c>
      <c r="BB20" s="345">
        <f>SUM(AY18:AY20)</f>
        <v>63732</v>
      </c>
      <c r="BC20" s="345">
        <f>SUM(BA18:BA20)</f>
        <v>5400.7160188601574</v>
      </c>
      <c r="BD20" s="347"/>
      <c r="BE20" s="339"/>
      <c r="BF20" s="339"/>
      <c r="BG20" s="339"/>
      <c r="BH20" s="339"/>
      <c r="BI20" s="339"/>
    </row>
    <row r="21" spans="1:64" ht="15" thickBot="1" x14ac:dyDescent="0.8">
      <c r="A21" s="1161"/>
      <c r="B21" s="341" t="s">
        <v>326</v>
      </c>
      <c r="C21" s="342">
        <v>29146</v>
      </c>
      <c r="D21" s="343">
        <v>4062</v>
      </c>
      <c r="E21" s="344">
        <v>67</v>
      </c>
      <c r="F21" s="343">
        <v>8095</v>
      </c>
      <c r="G21" s="345">
        <f>SUM(C11:C21)</f>
        <v>392306</v>
      </c>
      <c r="H21" s="345">
        <f>SUM(D11:D21)</f>
        <v>61891</v>
      </c>
      <c r="I21" s="345">
        <f>SUM(E11:E21)</f>
        <v>984</v>
      </c>
      <c r="J21" s="345">
        <f>SUM(F11:F21)</f>
        <v>102654</v>
      </c>
      <c r="K21" s="324"/>
      <c r="L21" s="348"/>
      <c r="M21" s="348"/>
      <c r="N21" s="348"/>
      <c r="O21" s="348"/>
      <c r="P21" s="348"/>
      <c r="Q21" s="348"/>
      <c r="R21" s="348"/>
      <c r="S21" s="348"/>
      <c r="U21">
        <v>2021</v>
      </c>
      <c r="V21" s="123">
        <f t="shared" si="6"/>
        <v>0.80747073940102554</v>
      </c>
      <c r="W21" s="123">
        <f t="shared" si="6"/>
        <v>0.24789822736125836</v>
      </c>
      <c r="X21" s="123">
        <f t="shared" si="6"/>
        <v>0.21290322580645152</v>
      </c>
      <c r="Y21" s="123">
        <f t="shared" si="6"/>
        <v>0.23783890120895629</v>
      </c>
      <c r="AA21">
        <v>2021</v>
      </c>
      <c r="AB21" s="123">
        <f t="shared" si="7"/>
        <v>0.44615384615384618</v>
      </c>
      <c r="AC21" s="123">
        <f t="shared" si="7"/>
        <v>-2.1827411167512748E-2</v>
      </c>
      <c r="AD21" s="123">
        <f t="shared" si="7"/>
        <v>-0.27353175014691139</v>
      </c>
      <c r="AE21" s="123">
        <f t="shared" si="7"/>
        <v>0.38636124829252916</v>
      </c>
      <c r="AL21">
        <f t="shared" si="2"/>
        <v>2016.846153846154</v>
      </c>
      <c r="AO21">
        <f t="shared" si="3"/>
        <v>2016.9166666666658</v>
      </c>
      <c r="AW21" s="354" t="s">
        <v>3</v>
      </c>
      <c r="AX21" s="355">
        <f>AW11</f>
        <v>2016</v>
      </c>
      <c r="AY21" s="356">
        <f>SUM(AY18:AY20)</f>
        <v>63732</v>
      </c>
      <c r="AZ21" s="356"/>
      <c r="BA21" s="356">
        <f>SUM(BA18:BA20)</f>
        <v>5400.7160188601574</v>
      </c>
      <c r="BB21" s="357">
        <f>BB20</f>
        <v>63732</v>
      </c>
      <c r="BC21" s="357">
        <f>BC20</f>
        <v>5400.7160188601574</v>
      </c>
      <c r="BD21" s="358"/>
      <c r="BE21" s="359"/>
      <c r="BF21" s="359"/>
      <c r="BG21" s="359"/>
      <c r="BH21" s="359"/>
      <c r="BI21" s="359"/>
    </row>
    <row r="22" spans="1:64" ht="15" thickBot="1" x14ac:dyDescent="0.8">
      <c r="A22" s="1162"/>
      <c r="B22" s="349" t="s">
        <v>327</v>
      </c>
      <c r="C22" s="350">
        <v>25003</v>
      </c>
      <c r="D22" s="351">
        <v>1841</v>
      </c>
      <c r="E22" s="352">
        <v>77</v>
      </c>
      <c r="F22" s="353">
        <v>9079</v>
      </c>
      <c r="G22" s="345">
        <f>SUM(C11:C22)</f>
        <v>417309</v>
      </c>
      <c r="H22" s="345">
        <f>SUM(D11:D22)</f>
        <v>63732</v>
      </c>
      <c r="I22" s="345">
        <f>SUM(E11:E22)</f>
        <v>1061</v>
      </c>
      <c r="J22" s="345">
        <f>SUM(F11:F22)</f>
        <v>111733</v>
      </c>
      <c r="K22" s="324"/>
      <c r="L22" s="348"/>
      <c r="M22" s="348"/>
      <c r="N22" s="348"/>
      <c r="O22" s="348"/>
      <c r="P22" s="348"/>
      <c r="Q22" s="348"/>
      <c r="R22" s="348"/>
      <c r="S22" s="348"/>
      <c r="U22">
        <v>2022</v>
      </c>
      <c r="V22" s="123">
        <f>INDEX($L$24:$O$101,MATCH($U22,$B$24:$B$101,0),MATCH(V$15,$L$9:$O$9,0))</f>
        <v>0.17519844211150493</v>
      </c>
      <c r="W22" s="123">
        <f>INDEX($L$24:$O$101,MATCH($U22,$B$24:$B$101,0),MATCH(W$15,$L$9:$O$9,0))</f>
        <v>-0.15578078078078078</v>
      </c>
      <c r="X22" s="123">
        <f>INDEX($L$24:$O$101,MATCH($U22,$B$24:$B$101,0),MATCH(X$15,$L$9:$O$9,0))</f>
        <v>0.21825669183253249</v>
      </c>
      <c r="Y22" s="123">
        <f t="shared" ref="Y22" si="8">INDEX($L$24:$O$101,MATCH($U22,$B$24:$B$101,0),MATCH(Y$15,$L$9:$O$9,0))</f>
        <v>0.57163909557176917</v>
      </c>
      <c r="AA22">
        <v>2022</v>
      </c>
      <c r="AB22" s="123">
        <f>INDEX($P$24:$S$101,MATCH($U22,$B$24:$B$101,0),MATCH(AB$15,$P$9:$S$9,0))</f>
        <v>-0.37197827071072881</v>
      </c>
      <c r="AC22" s="123">
        <f t="shared" ref="AC22:AE22" si="9">INDEX($P$24:$S$101,MATCH($U22,$B$24:$B$101,0),MATCH(AC$15,$P$9:$S$9,0))</f>
        <v>0.28801245459263103</v>
      </c>
      <c r="AD22" s="123">
        <f t="shared" si="9"/>
        <v>0.80319756376094409</v>
      </c>
      <c r="AE22" s="123">
        <f t="shared" si="9"/>
        <v>0.31726542367742916</v>
      </c>
      <c r="AL22">
        <f t="shared" si="2"/>
        <v>2016.9230769230771</v>
      </c>
      <c r="AO22">
        <f t="shared" si="3"/>
        <v>2016.9999999999991</v>
      </c>
      <c r="AP22" s="160">
        <f t="shared" ref="AP22:AQ33" si="10">L24</f>
        <v>-5.2820589555588805E-2</v>
      </c>
      <c r="AQ22" s="160">
        <f t="shared" si="10"/>
        <v>-0.45719082260772242</v>
      </c>
      <c r="AW22" s="1226">
        <v>2017</v>
      </c>
      <c r="AX22" s="880" t="s">
        <v>570</v>
      </c>
      <c r="AY22" s="334">
        <v>16301</v>
      </c>
      <c r="AZ22" s="335">
        <f>INDEX($BK$16:$BL$19,MATCH($AX22,$BK$16:$BK$19,0),2)</f>
        <v>130</v>
      </c>
      <c r="BA22" s="336">
        <f>AY22/2*AZ22*$BS$13/10^3</f>
        <v>3316.7688385872011</v>
      </c>
      <c r="BB22" s="337">
        <f>AY22</f>
        <v>16301</v>
      </c>
      <c r="BC22" s="337">
        <f>BA22</f>
        <v>3316.7688385872011</v>
      </c>
      <c r="BD22" s="1238" t="str">
        <f>"Milli áranna "&amp; AW11&amp;" og "&amp; AW22</f>
        <v>Milli áranna 2016 og 2017</v>
      </c>
      <c r="BE22" s="360">
        <f t="shared" ref="BE22:BE65" si="11">(AY22-AY11)/AY11</f>
        <v>-9.644698187461892E-2</v>
      </c>
      <c r="BF22" s="360"/>
      <c r="BG22" s="360">
        <f>(BA22-BA11)/BA11</f>
        <v>-9.6446981874618962E-2</v>
      </c>
      <c r="BH22" s="361">
        <f>(BB22-BB11)/BB11</f>
        <v>-9.644698187461892E-2</v>
      </c>
      <c r="BI22" s="361">
        <f>(BC22-BC11)/BC11</f>
        <v>-9.6446981874618962E-2</v>
      </c>
    </row>
    <row r="23" spans="1:64" ht="15" thickBot="1" x14ac:dyDescent="0.8">
      <c r="A23" s="354" t="s">
        <v>3</v>
      </c>
      <c r="B23" s="355">
        <v>2016</v>
      </c>
      <c r="C23" s="356">
        <f>SUM(C11:C22)</f>
        <v>417309</v>
      </c>
      <c r="D23" s="356">
        <f>SUM(D11:D22)</f>
        <v>63732</v>
      </c>
      <c r="E23" s="356">
        <f>SUM(E11:E22)</f>
        <v>1061</v>
      </c>
      <c r="F23" s="356">
        <f>SUM(F11:F22)</f>
        <v>111733</v>
      </c>
      <c r="G23" s="357">
        <f>G15</f>
        <v>154074</v>
      </c>
      <c r="H23" s="357">
        <f>H15</f>
        <v>28087</v>
      </c>
      <c r="I23" s="357">
        <f>I15</f>
        <v>432</v>
      </c>
      <c r="J23" s="357">
        <f>J15</f>
        <v>41565</v>
      </c>
      <c r="K23" s="358"/>
      <c r="L23" s="359"/>
      <c r="M23" s="359"/>
      <c r="N23" s="359"/>
      <c r="O23" s="359"/>
      <c r="P23" s="359"/>
      <c r="Q23" s="359"/>
      <c r="R23" s="359"/>
      <c r="S23" s="359"/>
      <c r="AL23">
        <f t="shared" si="2"/>
        <v>2017.0000000000002</v>
      </c>
      <c r="AO23">
        <f t="shared" si="3"/>
        <v>2017.0833333333323</v>
      </c>
      <c r="AP23" s="160">
        <f t="shared" si="10"/>
        <v>-5.219985085756898E-2</v>
      </c>
      <c r="AQ23" s="160">
        <f t="shared" si="10"/>
        <v>-0.39149383829275625</v>
      </c>
      <c r="AW23" s="1161"/>
      <c r="AX23" s="881" t="s">
        <v>573</v>
      </c>
      <c r="AY23" s="342">
        <v>3876</v>
      </c>
      <c r="AZ23" s="343">
        <f>INDEX($BK$16:$BL$19,MATCH($AX23,$BK$16:$BK$19,0),2)</f>
        <v>110</v>
      </c>
      <c r="BA23" s="344">
        <f>AY23/2*AZ23*$BS$13/10^3</f>
        <v>667.319872787436</v>
      </c>
      <c r="BB23" s="345">
        <f>SUM(AY22:AY23)</f>
        <v>20177</v>
      </c>
      <c r="BC23" s="345">
        <f>SUM(BA22:BA23)</f>
        <v>3984.0887113746371</v>
      </c>
      <c r="BD23" s="1176"/>
      <c r="BE23" s="360">
        <f t="shared" si="11"/>
        <v>-0.30995193163610468</v>
      </c>
      <c r="BF23" s="363"/>
      <c r="BG23" s="364">
        <f t="shared" ref="BG23:BG65" si="12">(BA23-BA12)/BA12</f>
        <v>-0.30995193163610463</v>
      </c>
      <c r="BH23" s="365">
        <f t="shared" ref="BH23:BH65" si="13">(BB23-BB12)/BB12</f>
        <v>-0.14713838870572321</v>
      </c>
      <c r="BI23" s="365">
        <f t="shared" ref="BI23:BI65" si="14">(BC23-BC12)/BC12</f>
        <v>-0.14096584773218149</v>
      </c>
    </row>
    <row r="24" spans="1:64" ht="14.25" customHeight="1" x14ac:dyDescent="0.65">
      <c r="A24" s="1161">
        <v>2017</v>
      </c>
      <c r="B24" s="333" t="s">
        <v>295</v>
      </c>
      <c r="C24" s="334">
        <v>25320</v>
      </c>
      <c r="D24" s="335">
        <v>2910</v>
      </c>
      <c r="E24" s="336">
        <v>51</v>
      </c>
      <c r="F24" s="335">
        <v>8230</v>
      </c>
      <c r="G24" s="337">
        <f>C24</f>
        <v>25320</v>
      </c>
      <c r="H24" s="337">
        <f>D24</f>
        <v>2910</v>
      </c>
      <c r="I24" s="337">
        <f>E24</f>
        <v>51</v>
      </c>
      <c r="J24" s="337">
        <f>F24</f>
        <v>8230</v>
      </c>
      <c r="K24" s="1176" t="s">
        <v>358</v>
      </c>
      <c r="L24" s="360">
        <f t="shared" ref="L24:L55" si="15">(C24-C11)/C11</f>
        <v>-5.2820589555588805E-2</v>
      </c>
      <c r="M24" s="360">
        <f t="shared" ref="M24:M55" si="16">(D24-D11)/D11</f>
        <v>-0.45719082260772242</v>
      </c>
      <c r="N24" s="360">
        <f t="shared" ref="N24:N55" si="17">(E24-E11)/E11</f>
        <v>-0.19047619047619047</v>
      </c>
      <c r="O24" s="361">
        <f t="shared" ref="O24:O55" si="18">(F24-F11)/F11</f>
        <v>1.4421299149513128E-2</v>
      </c>
      <c r="P24" s="361">
        <f t="shared" ref="P24:P55" si="19">(G24-G11)/G11</f>
        <v>-5.2820589555588805E-2</v>
      </c>
      <c r="Q24" s="361">
        <f t="shared" ref="Q24:Q55" si="20">(H24-H11)/H11</f>
        <v>-0.45719082260772242</v>
      </c>
      <c r="R24" s="361">
        <f t="shared" ref="R24:R55" si="21">(I24-I11)/I11</f>
        <v>-0.19047619047619047</v>
      </c>
      <c r="S24" s="361">
        <f t="shared" ref="S24:S55" si="22">(J24-J11)/J11</f>
        <v>1.4421299149513128E-2</v>
      </c>
      <c r="AL24">
        <f t="shared" si="2"/>
        <v>2017.0769230769233</v>
      </c>
      <c r="AO24">
        <f t="shared" si="3"/>
        <v>2017.1666666666656</v>
      </c>
      <c r="AP24" s="160">
        <f t="shared" si="10"/>
        <v>0.1015451849539566</v>
      </c>
      <c r="AQ24" s="160">
        <f t="shared" si="10"/>
        <v>1.0741744701823559</v>
      </c>
      <c r="AW24" s="1161"/>
      <c r="AX24" s="881" t="s">
        <v>575</v>
      </c>
      <c r="AY24" s="342">
        <v>41379</v>
      </c>
      <c r="AZ24" s="399">
        <f>INDEX($BK$16:$BL$19,MATCH($AX24,$BK$16:$BK$19,0),2)</f>
        <v>3.5</v>
      </c>
      <c r="BA24" s="344">
        <f>AY24/2*AZ24*$BS$13/10^3</f>
        <v>226.676052059878</v>
      </c>
      <c r="BB24" s="345">
        <f>SUM(AY22:AY24)</f>
        <v>61556</v>
      </c>
      <c r="BC24" s="345">
        <f>SUM(BA22:BA24)</f>
        <v>4210.7647634345149</v>
      </c>
      <c r="BD24" s="1176"/>
      <c r="BE24" s="360">
        <f t="shared" si="11"/>
        <v>0.11720395269722987</v>
      </c>
      <c r="BF24" s="363"/>
      <c r="BG24" s="364">
        <f t="shared" si="12"/>
        <v>0.11720395269722982</v>
      </c>
      <c r="BH24" s="365">
        <f t="shared" si="13"/>
        <v>1.4168973243706339E-2</v>
      </c>
      <c r="BI24" s="365">
        <f t="shared" si="14"/>
        <v>-0.13014491891414784</v>
      </c>
    </row>
    <row r="25" spans="1:64" ht="14.25" x14ac:dyDescent="0.65">
      <c r="A25" s="1161"/>
      <c r="B25" s="341" t="s">
        <v>299</v>
      </c>
      <c r="C25" s="342">
        <v>27962</v>
      </c>
      <c r="D25" s="343">
        <v>4049</v>
      </c>
      <c r="E25" s="344">
        <v>57</v>
      </c>
      <c r="F25" s="343">
        <v>7494</v>
      </c>
      <c r="G25" s="345">
        <f>SUM(C24:C25)</f>
        <v>53282</v>
      </c>
      <c r="H25" s="345">
        <f>SUM(D24:D25)</f>
        <v>6959</v>
      </c>
      <c r="I25" s="345">
        <f>SUM(E24:E25)</f>
        <v>108</v>
      </c>
      <c r="J25" s="345">
        <f>SUM(F24:F25)</f>
        <v>15724</v>
      </c>
      <c r="K25" s="1176"/>
      <c r="L25" s="362">
        <f t="shared" si="15"/>
        <v>-5.219985085756898E-2</v>
      </c>
      <c r="M25" s="363">
        <f t="shared" si="16"/>
        <v>-0.39149383829275625</v>
      </c>
      <c r="N25" s="364">
        <f t="shared" si="17"/>
        <v>-0.33720930232558138</v>
      </c>
      <c r="O25" s="365">
        <f t="shared" si="18"/>
        <v>-4.8501777552056882E-2</v>
      </c>
      <c r="P25" s="365">
        <f t="shared" si="19"/>
        <v>-5.2494931891738095E-2</v>
      </c>
      <c r="Q25" s="365">
        <f t="shared" si="20"/>
        <v>-0.42080732417811068</v>
      </c>
      <c r="R25" s="365">
        <f t="shared" si="21"/>
        <v>-0.27516778523489932</v>
      </c>
      <c r="S25" s="365">
        <f t="shared" si="22"/>
        <v>-1.6573894552504846E-2</v>
      </c>
      <c r="AL25">
        <f t="shared" si="2"/>
        <v>2017.1538461538464</v>
      </c>
      <c r="AO25">
        <f t="shared" si="3"/>
        <v>2017.2499999999989</v>
      </c>
      <c r="AP25" s="160">
        <f t="shared" si="10"/>
        <v>-4.3893485970260687E-2</v>
      </c>
      <c r="AQ25" s="160">
        <f t="shared" si="10"/>
        <v>-0.41833577593225857</v>
      </c>
      <c r="AW25" s="1161"/>
      <c r="AX25" s="881" t="s">
        <v>577</v>
      </c>
      <c r="AY25" s="342">
        <f>SUM(AY22:AY24)</f>
        <v>61556</v>
      </c>
      <c r="AZ25" s="343"/>
      <c r="BA25" s="344">
        <f>SUM(BA22:BA24)</f>
        <v>4210.7647634345149</v>
      </c>
      <c r="BB25" s="345">
        <f>SUM(AY22:AY24)</f>
        <v>61556</v>
      </c>
      <c r="BC25" s="345">
        <f>SUM(BA22:BA24)</f>
        <v>4210.7647634345149</v>
      </c>
      <c r="BD25" s="1176"/>
      <c r="BE25" s="360">
        <f t="shared" si="11"/>
        <v>1.4168973243706339E-2</v>
      </c>
      <c r="BF25" s="363"/>
      <c r="BG25" s="364">
        <f t="shared" si="12"/>
        <v>-0.13014491891414784</v>
      </c>
      <c r="BH25" s="365">
        <f t="shared" si="13"/>
        <v>1.4168973243706339E-2</v>
      </c>
      <c r="BI25" s="365">
        <f t="shared" si="14"/>
        <v>-0.13014491891414784</v>
      </c>
    </row>
    <row r="26" spans="1:64" ht="14.25" x14ac:dyDescent="0.65">
      <c r="A26" s="1161"/>
      <c r="B26" s="341" t="s">
        <v>303</v>
      </c>
      <c r="C26" s="342">
        <v>35288</v>
      </c>
      <c r="D26" s="343">
        <v>8417</v>
      </c>
      <c r="E26" s="344">
        <v>70</v>
      </c>
      <c r="F26" s="343">
        <v>8896</v>
      </c>
      <c r="G26" s="345">
        <f>SUM(C24:C26)</f>
        <v>88570</v>
      </c>
      <c r="H26" s="345">
        <f>SUM(D24:D26)</f>
        <v>15376</v>
      </c>
      <c r="I26" s="345">
        <f>SUM(E24:E26)</f>
        <v>178</v>
      </c>
      <c r="J26" s="345">
        <f>SUM(F24:F26)</f>
        <v>24620</v>
      </c>
      <c r="K26" s="1176"/>
      <c r="L26" s="362">
        <f t="shared" si="15"/>
        <v>0.1015451849539566</v>
      </c>
      <c r="M26" s="363">
        <f t="shared" si="16"/>
        <v>1.0741744701823559</v>
      </c>
      <c r="N26" s="364">
        <f t="shared" si="17"/>
        <v>-0.2857142857142857</v>
      </c>
      <c r="O26" s="365">
        <f t="shared" si="18"/>
        <v>0.10030921459492888</v>
      </c>
      <c r="P26" s="365">
        <f t="shared" si="19"/>
        <v>3.4100307016053199E-3</v>
      </c>
      <c r="Q26" s="365">
        <f t="shared" si="20"/>
        <v>-4.3364648789896099E-2</v>
      </c>
      <c r="R26" s="365">
        <f t="shared" si="21"/>
        <v>-0.2793522267206478</v>
      </c>
      <c r="S26" s="365">
        <f t="shared" si="22"/>
        <v>2.2680069784830108E-2</v>
      </c>
      <c r="AL26">
        <f t="shared" si="2"/>
        <v>2017.2307692307695</v>
      </c>
      <c r="AO26">
        <f t="shared" si="3"/>
        <v>2017.3333333333321</v>
      </c>
      <c r="AP26" s="160">
        <f t="shared" si="10"/>
        <v>9.0703823643007817E-2</v>
      </c>
      <c r="AQ26" s="160">
        <f t="shared" si="10"/>
        <v>-0.10846245530393325</v>
      </c>
      <c r="AW26" s="1161"/>
      <c r="AX26" s="881" t="s">
        <v>570</v>
      </c>
      <c r="AY26" s="342">
        <v>1529</v>
      </c>
      <c r="AZ26" s="343">
        <f>INDEX($BK$16:$BL$19,MATCH($AX26,$BK$16:$BK$19,0),2)</f>
        <v>130</v>
      </c>
      <c r="BA26" s="344">
        <f>AY26/2*AZ26*$BS$13/10^3</f>
        <v>311.10603976442121</v>
      </c>
      <c r="BB26" s="345">
        <f>SUM(AY26)</f>
        <v>1529</v>
      </c>
      <c r="BC26" s="345">
        <f>SUM(BA26)</f>
        <v>311.10603976442121</v>
      </c>
      <c r="BD26" s="1176"/>
      <c r="BE26" s="360">
        <f t="shared" si="11"/>
        <v>0.28487394957983192</v>
      </c>
      <c r="BF26" s="363"/>
      <c r="BG26" s="364">
        <f t="shared" si="12"/>
        <v>0.28487394957983175</v>
      </c>
      <c r="BH26" s="365">
        <f t="shared" si="13"/>
        <v>0.28487394957983192</v>
      </c>
      <c r="BI26" s="365">
        <f t="shared" si="14"/>
        <v>0.28487394957983175</v>
      </c>
    </row>
    <row r="27" spans="1:64" ht="14.25" x14ac:dyDescent="0.65">
      <c r="A27" s="1161"/>
      <c r="B27" s="341" t="s">
        <v>306</v>
      </c>
      <c r="C27" s="342">
        <v>30735</v>
      </c>
      <c r="D27" s="343">
        <v>3572</v>
      </c>
      <c r="E27" s="344">
        <v>64</v>
      </c>
      <c r="F27" s="343">
        <v>8792</v>
      </c>
      <c r="G27" s="345">
        <f>SUM(C24:C27)</f>
        <v>119305</v>
      </c>
      <c r="H27" s="345">
        <f>SUM(D24:D27)</f>
        <v>18948</v>
      </c>
      <c r="I27" s="345">
        <f>SUM(E24:E27)</f>
        <v>242</v>
      </c>
      <c r="J27" s="345">
        <f>SUM(F24:F27)</f>
        <v>33412</v>
      </c>
      <c r="K27" s="1176"/>
      <c r="L27" s="362">
        <f t="shared" si="15"/>
        <v>-4.3893485970260687E-2</v>
      </c>
      <c r="M27" s="363">
        <f t="shared" si="16"/>
        <v>-0.41833577593225857</v>
      </c>
      <c r="N27" s="364">
        <f t="shared" si="17"/>
        <v>-0.30434782608695654</v>
      </c>
      <c r="O27" s="365">
        <f t="shared" si="18"/>
        <v>6.2734195575970028E-2</v>
      </c>
      <c r="P27" s="365">
        <f t="shared" si="19"/>
        <v>-9.2181206660299792E-3</v>
      </c>
      <c r="Q27" s="365">
        <f t="shared" si="20"/>
        <v>-0.14702439902764022</v>
      </c>
      <c r="R27" s="365">
        <f t="shared" si="21"/>
        <v>-0.28613569321533922</v>
      </c>
      <c r="S27" s="365">
        <f t="shared" si="22"/>
        <v>3.2924227903669584E-2</v>
      </c>
      <c r="AL27">
        <f t="shared" si="2"/>
        <v>2017.3076923076926</v>
      </c>
      <c r="AO27">
        <f t="shared" si="3"/>
        <v>2017.4166666666654</v>
      </c>
      <c r="AP27" s="160">
        <f t="shared" si="10"/>
        <v>6.3871033568003263E-2</v>
      </c>
      <c r="AQ27" s="160">
        <f t="shared" si="10"/>
        <v>0.3007531106745252</v>
      </c>
      <c r="AW27" s="1161"/>
      <c r="AX27" s="881" t="s">
        <v>573</v>
      </c>
      <c r="AY27" s="342">
        <v>1571</v>
      </c>
      <c r="AZ27" s="343">
        <f>INDEX($BK$16:$BL$19,MATCH($AX27,$BK$16:$BK$19,0),2)</f>
        <v>110</v>
      </c>
      <c r="BA27" s="344">
        <f>AY27/2*AZ27*$BS$13/10^3</f>
        <v>270.47459240171878</v>
      </c>
      <c r="BB27" s="345">
        <f>SUM(AY26:AY27)</f>
        <v>3100</v>
      </c>
      <c r="BC27" s="345">
        <f>SUM(BA26:BA27)</f>
        <v>581.58063216614005</v>
      </c>
      <c r="BD27" s="1176"/>
      <c r="BE27" s="360">
        <f t="shared" si="11"/>
        <v>-0.14897074756229686</v>
      </c>
      <c r="BF27" s="363"/>
      <c r="BG27" s="364">
        <f t="shared" si="12"/>
        <v>-0.14897074756229675</v>
      </c>
      <c r="BH27" s="365">
        <f t="shared" si="13"/>
        <v>2.1080368906455864E-2</v>
      </c>
      <c r="BI27" s="365">
        <f t="shared" si="14"/>
        <v>3.8629248658318516E-2</v>
      </c>
    </row>
    <row r="28" spans="1:64" ht="14.25" x14ac:dyDescent="0.65">
      <c r="A28" s="1161"/>
      <c r="B28" s="341" t="s">
        <v>310</v>
      </c>
      <c r="C28" s="342">
        <v>36712</v>
      </c>
      <c r="D28" s="343">
        <v>5236</v>
      </c>
      <c r="E28" s="344">
        <v>67</v>
      </c>
      <c r="F28" s="343">
        <v>9724</v>
      </c>
      <c r="G28" s="345">
        <f>SUM(C24:C28)</f>
        <v>156017</v>
      </c>
      <c r="H28" s="345">
        <f>SUM(D24:D28)</f>
        <v>24184</v>
      </c>
      <c r="I28" s="345">
        <f>SUM(E24:E28)</f>
        <v>309</v>
      </c>
      <c r="J28" s="345">
        <f>SUM(F24:F28)</f>
        <v>43136</v>
      </c>
      <c r="K28" s="1176"/>
      <c r="L28" s="362">
        <f t="shared" si="15"/>
        <v>9.0703823643007817E-2</v>
      </c>
      <c r="M28" s="363">
        <f t="shared" si="16"/>
        <v>-0.10846245530393325</v>
      </c>
      <c r="N28" s="364">
        <f t="shared" si="17"/>
        <v>-0.27956989247311825</v>
      </c>
      <c r="O28" s="365">
        <f t="shared" si="18"/>
        <v>5.4892601431980909E-2</v>
      </c>
      <c r="P28" s="365">
        <f t="shared" si="19"/>
        <v>1.2610823370588159E-2</v>
      </c>
      <c r="Q28" s="365">
        <f t="shared" si="20"/>
        <v>-0.13896108519955852</v>
      </c>
      <c r="R28" s="365">
        <f t="shared" si="21"/>
        <v>-0.28472222222222221</v>
      </c>
      <c r="S28" s="365">
        <f t="shared" si="22"/>
        <v>3.7796222783591966E-2</v>
      </c>
      <c r="AL28">
        <f t="shared" si="2"/>
        <v>2017.3846153846157</v>
      </c>
      <c r="AO28">
        <f t="shared" si="3"/>
        <v>2017.4999999999986</v>
      </c>
      <c r="AP28" s="160">
        <f t="shared" si="10"/>
        <v>-4.6558746736292428E-2</v>
      </c>
      <c r="AQ28" s="160">
        <f t="shared" si="10"/>
        <v>-1.1626217119604709E-2</v>
      </c>
      <c r="AW28" s="1161"/>
      <c r="AX28" s="881" t="s">
        <v>581</v>
      </c>
      <c r="AY28" s="342">
        <f>AY27+AY26</f>
        <v>3100</v>
      </c>
      <c r="AZ28" s="343"/>
      <c r="BA28" s="344">
        <f>SUM(BA26:BA27)</f>
        <v>581.58063216614005</v>
      </c>
      <c r="BB28" s="345">
        <f>SUM(AY28)</f>
        <v>3100</v>
      </c>
      <c r="BC28" s="345">
        <f>SUM(BA28)</f>
        <v>581.58063216614005</v>
      </c>
      <c r="BD28" s="1176"/>
      <c r="BE28" s="360">
        <f t="shared" si="11"/>
        <v>2.1080368906455864E-2</v>
      </c>
      <c r="BF28" s="363"/>
      <c r="BG28" s="364">
        <f t="shared" si="12"/>
        <v>3.8629248658318516E-2</v>
      </c>
      <c r="BH28" s="365">
        <f t="shared" si="13"/>
        <v>2.1080368906455864E-2</v>
      </c>
      <c r="BI28" s="365">
        <f t="shared" si="14"/>
        <v>3.8629248658318516E-2</v>
      </c>
    </row>
    <row r="29" spans="1:64" ht="14.25" x14ac:dyDescent="0.65">
      <c r="A29" s="1161"/>
      <c r="B29" s="341" t="s">
        <v>314</v>
      </c>
      <c r="C29" s="342">
        <v>41708</v>
      </c>
      <c r="D29" s="343">
        <v>7945</v>
      </c>
      <c r="E29" s="344">
        <v>67</v>
      </c>
      <c r="F29" s="343">
        <v>11975</v>
      </c>
      <c r="G29" s="345">
        <f>SUM(C24:C29)</f>
        <v>197725</v>
      </c>
      <c r="H29" s="345">
        <f>SUM(D24:D29)</f>
        <v>32129</v>
      </c>
      <c r="I29" s="345">
        <f>SUM(E24:E29)</f>
        <v>376</v>
      </c>
      <c r="J29" s="345">
        <f>SUM(F24:F29)</f>
        <v>55111</v>
      </c>
      <c r="K29" s="1176"/>
      <c r="L29" s="362">
        <f t="shared" si="15"/>
        <v>6.3871033568003263E-2</v>
      </c>
      <c r="M29" s="363">
        <f t="shared" si="16"/>
        <v>0.3007531106745252</v>
      </c>
      <c r="N29" s="364">
        <f t="shared" si="17"/>
        <v>-0.30927835051546393</v>
      </c>
      <c r="O29" s="365">
        <f t="shared" si="18"/>
        <v>0.2081315577078289</v>
      </c>
      <c r="P29" s="365">
        <f t="shared" si="19"/>
        <v>2.3008309274723457E-2</v>
      </c>
      <c r="Q29" s="365">
        <f t="shared" si="20"/>
        <v>-6.0418189793829506E-2</v>
      </c>
      <c r="R29" s="365">
        <f t="shared" si="21"/>
        <v>-0.28922495274102078</v>
      </c>
      <c r="S29" s="365">
        <f t="shared" si="22"/>
        <v>7.059463449695981E-2</v>
      </c>
      <c r="AL29">
        <f t="shared" si="2"/>
        <v>2017.4615384615388</v>
      </c>
      <c r="AO29">
        <f t="shared" si="3"/>
        <v>2017.5833333333319</v>
      </c>
      <c r="AP29" s="160">
        <f t="shared" si="10"/>
        <v>1.3588634959851761E-2</v>
      </c>
      <c r="AQ29" s="160">
        <f t="shared" si="10"/>
        <v>-0.26066802999318339</v>
      </c>
      <c r="AW29" s="1161"/>
      <c r="AX29" s="882" t="s">
        <v>570</v>
      </c>
      <c r="AY29" s="421">
        <f>AY22+AY26</f>
        <v>17830</v>
      </c>
      <c r="AZ29" s="343">
        <f>INDEX($BK$16:$BL$19,MATCH($AX29,$BK$16:$BK$19,0),2)</f>
        <v>130</v>
      </c>
      <c r="BA29" s="344">
        <f>AY29/2*AZ29*$BS$13/10^3</f>
        <v>3627.8748783516226</v>
      </c>
      <c r="BB29" s="345">
        <f>SUM(AY29)</f>
        <v>17830</v>
      </c>
      <c r="BC29" s="345">
        <f>SUM(BA29)</f>
        <v>3627.8748783516226</v>
      </c>
      <c r="BD29" s="1176"/>
      <c r="BE29" s="360">
        <f t="shared" si="11"/>
        <v>-7.2851125786490556E-2</v>
      </c>
      <c r="BF29" s="363"/>
      <c r="BG29" s="364">
        <f t="shared" si="12"/>
        <v>-7.2851125786490584E-2</v>
      </c>
      <c r="BH29" s="365">
        <f t="shared" si="13"/>
        <v>-7.2851125786490556E-2</v>
      </c>
      <c r="BI29" s="365">
        <f t="shared" si="14"/>
        <v>-7.2851125786490584E-2</v>
      </c>
    </row>
    <row r="30" spans="1:64" ht="14.25" x14ac:dyDescent="0.65">
      <c r="A30" s="1161"/>
      <c r="B30" s="341" t="s">
        <v>316</v>
      </c>
      <c r="C30" s="342">
        <v>45646</v>
      </c>
      <c r="D30" s="343">
        <v>6801</v>
      </c>
      <c r="E30" s="344">
        <v>67</v>
      </c>
      <c r="F30" s="343">
        <v>12413</v>
      </c>
      <c r="G30" s="345">
        <f>SUM(C24:C30)</f>
        <v>243371</v>
      </c>
      <c r="H30" s="345">
        <f>SUM(D24:D30)</f>
        <v>38930</v>
      </c>
      <c r="I30" s="345">
        <f>SUM(E24:E30)</f>
        <v>443</v>
      </c>
      <c r="J30" s="345">
        <f>SUM(F24:F30)</f>
        <v>67524</v>
      </c>
      <c r="K30" s="1176"/>
      <c r="L30" s="362">
        <f t="shared" si="15"/>
        <v>-4.6558746736292428E-2</v>
      </c>
      <c r="M30" s="363">
        <f t="shared" si="16"/>
        <v>-1.1626217119604709E-2</v>
      </c>
      <c r="N30" s="364">
        <f t="shared" si="17"/>
        <v>-0.28723404255319152</v>
      </c>
      <c r="O30" s="365">
        <f t="shared" si="18"/>
        <v>7.110190698075762E-2</v>
      </c>
      <c r="P30" s="365">
        <f t="shared" si="19"/>
        <v>9.1974804377304032E-3</v>
      </c>
      <c r="Q30" s="365">
        <f t="shared" si="20"/>
        <v>-5.2244619729282307E-2</v>
      </c>
      <c r="R30" s="365">
        <f t="shared" si="21"/>
        <v>-0.28892455858747995</v>
      </c>
      <c r="S30" s="365">
        <f t="shared" si="22"/>
        <v>7.0687850822947387E-2</v>
      </c>
      <c r="AL30">
        <f t="shared" si="2"/>
        <v>2017.5384615384619</v>
      </c>
      <c r="AO30">
        <f t="shared" si="3"/>
        <v>2017.6666666666652</v>
      </c>
      <c r="AP30" s="160">
        <f t="shared" si="10"/>
        <v>-2.7555813840863964E-2</v>
      </c>
      <c r="AQ30" s="160">
        <f t="shared" si="10"/>
        <v>-7.7912665337923539E-3</v>
      </c>
      <c r="AW30" s="1161"/>
      <c r="AX30" s="882" t="s">
        <v>573</v>
      </c>
      <c r="AY30" s="421">
        <f>AY23+AY27</f>
        <v>5447</v>
      </c>
      <c r="AZ30" s="343">
        <f>INDEX($BK$16:$BL$19,MATCH($AX30,$BK$16:$BK$19,0),2)</f>
        <v>110</v>
      </c>
      <c r="BA30" s="344">
        <f>AY30/2*AZ30*$BS$13/10^3</f>
        <v>937.79446518915472</v>
      </c>
      <c r="BB30" s="345">
        <f>SUM(AY29:AY30)</f>
        <v>23277</v>
      </c>
      <c r="BC30" s="345">
        <f>SUM(BA29:BA30)</f>
        <v>4565.6693435407769</v>
      </c>
      <c r="BD30" s="1176"/>
      <c r="BE30" s="360">
        <f t="shared" si="11"/>
        <v>-0.27013265442851403</v>
      </c>
      <c r="BF30" s="363"/>
      <c r="BG30" s="364">
        <f t="shared" si="12"/>
        <v>-0.27013265442851397</v>
      </c>
      <c r="BH30" s="365">
        <f t="shared" si="13"/>
        <v>-0.12800629354911217</v>
      </c>
      <c r="BI30" s="365">
        <f t="shared" si="14"/>
        <v>-0.12161844767777995</v>
      </c>
    </row>
    <row r="31" spans="1:64" ht="15" thickBot="1" x14ac:dyDescent="0.8">
      <c r="A31" s="1161"/>
      <c r="B31" s="341" t="s">
        <v>319</v>
      </c>
      <c r="C31" s="342">
        <v>47589</v>
      </c>
      <c r="D31" s="343">
        <v>5423</v>
      </c>
      <c r="E31" s="344">
        <v>67</v>
      </c>
      <c r="F31" s="343">
        <v>12364</v>
      </c>
      <c r="G31" s="345">
        <f>SUM(C24:C31)</f>
        <v>290960</v>
      </c>
      <c r="H31" s="345">
        <f>SUM(D24:D31)</f>
        <v>44353</v>
      </c>
      <c r="I31" s="345">
        <f>SUM(E24:E31)</f>
        <v>510</v>
      </c>
      <c r="J31" s="345">
        <f>SUM(F24:F31)</f>
        <v>79888</v>
      </c>
      <c r="K31" s="1176"/>
      <c r="L31" s="362">
        <f t="shared" si="15"/>
        <v>1.3588634959851761E-2</v>
      </c>
      <c r="M31" s="363">
        <f t="shared" si="16"/>
        <v>-0.26066802999318339</v>
      </c>
      <c r="N31" s="364">
        <f t="shared" si="17"/>
        <v>-0.4017857142857143</v>
      </c>
      <c r="O31" s="365">
        <f t="shared" si="18"/>
        <v>0.12584228737934802</v>
      </c>
      <c r="P31" s="365">
        <f t="shared" si="19"/>
        <v>9.9130869408269231E-3</v>
      </c>
      <c r="Q31" s="365">
        <f t="shared" si="20"/>
        <v>-8.3823924314721868E-2</v>
      </c>
      <c r="R31" s="365">
        <f t="shared" si="21"/>
        <v>-0.30612244897959184</v>
      </c>
      <c r="S31" s="365">
        <f t="shared" si="22"/>
        <v>7.8867761452031115E-2</v>
      </c>
      <c r="AL31">
        <f t="shared" si="2"/>
        <v>2017.615384615385</v>
      </c>
      <c r="AO31">
        <f t="shared" si="3"/>
        <v>2017.7499999999984</v>
      </c>
      <c r="AP31" s="160">
        <f t="shared" si="10"/>
        <v>8.1580662361514303E-2</v>
      </c>
      <c r="AQ31" s="160">
        <f t="shared" si="10"/>
        <v>0.55373172608361121</v>
      </c>
      <c r="AW31" s="1162"/>
      <c r="AX31" s="882" t="s">
        <v>575</v>
      </c>
      <c r="AY31" s="421">
        <f>AY24</f>
        <v>41379</v>
      </c>
      <c r="AZ31" s="399">
        <f>INDEX($BK$16:$BL$19,MATCH($AX31,$BK$16:$BK$19,0),2)</f>
        <v>3.5</v>
      </c>
      <c r="BA31" s="344">
        <f>AY31/2*AZ31*$BS$13/10^3</f>
        <v>226.676052059878</v>
      </c>
      <c r="BB31" s="345">
        <f>SUM(AY29:AY31)</f>
        <v>64656</v>
      </c>
      <c r="BC31" s="345">
        <f>SUM(BA29:BA31)</f>
        <v>4792.3453956006551</v>
      </c>
      <c r="BD31" s="1176"/>
      <c r="BE31" s="360">
        <f t="shared" si="11"/>
        <v>0.11720395269722987</v>
      </c>
      <c r="BF31" s="363"/>
      <c r="BG31" s="364">
        <f t="shared" si="12"/>
        <v>0.11720395269722982</v>
      </c>
      <c r="BH31" s="365">
        <f t="shared" si="13"/>
        <v>1.4498211259649783E-2</v>
      </c>
      <c r="BI31" s="365">
        <f t="shared" si="14"/>
        <v>-0.11264629007245994</v>
      </c>
    </row>
    <row r="32" spans="1:64" ht="15" thickBot="1" x14ac:dyDescent="0.8">
      <c r="A32" s="1161"/>
      <c r="B32" s="341" t="s">
        <v>321</v>
      </c>
      <c r="C32" s="342">
        <v>40160</v>
      </c>
      <c r="D32" s="343">
        <v>5476</v>
      </c>
      <c r="E32" s="344">
        <v>72</v>
      </c>
      <c r="F32" s="343">
        <v>11969</v>
      </c>
      <c r="G32" s="345">
        <f>SUM(C24:C32)</f>
        <v>331120</v>
      </c>
      <c r="H32" s="345">
        <f>SUM(D24:D32)</f>
        <v>49829</v>
      </c>
      <c r="I32" s="345">
        <f>SUM(E24:E32)</f>
        <v>582</v>
      </c>
      <c r="J32" s="345">
        <f>SUM(F24:F32)</f>
        <v>91857</v>
      </c>
      <c r="K32" s="1176"/>
      <c r="L32" s="362">
        <f t="shared" si="15"/>
        <v>-2.7555813840863964E-2</v>
      </c>
      <c r="M32" s="363">
        <f t="shared" si="16"/>
        <v>-7.7912665337923539E-3</v>
      </c>
      <c r="N32" s="364">
        <f t="shared" si="17"/>
        <v>-0.16279069767441862</v>
      </c>
      <c r="O32" s="365">
        <f t="shared" si="18"/>
        <v>8.7893110343573902E-2</v>
      </c>
      <c r="P32" s="365">
        <f t="shared" si="19"/>
        <v>5.2155117455267427E-3</v>
      </c>
      <c r="Q32" s="365">
        <f t="shared" si="20"/>
        <v>-7.6043018727980721E-2</v>
      </c>
      <c r="R32" s="365">
        <f t="shared" si="21"/>
        <v>-0.29110840438489649</v>
      </c>
      <c r="S32" s="365">
        <f t="shared" si="22"/>
        <v>8.0035273368606705E-2</v>
      </c>
      <c r="AL32">
        <f t="shared" si="2"/>
        <v>2017.6923076923081</v>
      </c>
      <c r="AO32">
        <f t="shared" si="3"/>
        <v>2017.8333333333317</v>
      </c>
      <c r="AP32" s="160">
        <f t="shared" si="10"/>
        <v>5.0229877170109107E-2</v>
      </c>
      <c r="AQ32" s="160">
        <f t="shared" si="10"/>
        <v>0.11669128508124077</v>
      </c>
      <c r="AW32" s="354" t="s">
        <v>3</v>
      </c>
      <c r="AX32" s="370">
        <f>AW22</f>
        <v>2017</v>
      </c>
      <c r="AY32" s="356">
        <f>SUM(AY29:AY31)</f>
        <v>64656</v>
      </c>
      <c r="AZ32" s="356"/>
      <c r="BA32" s="356">
        <f>SUM(BA29:BA31)</f>
        <v>4792.3453956006551</v>
      </c>
      <c r="BB32" s="357">
        <f>BB31</f>
        <v>64656</v>
      </c>
      <c r="BC32" s="357">
        <f>BC31</f>
        <v>4792.3453956006551</v>
      </c>
      <c r="BD32" s="1177"/>
      <c r="BE32" s="371">
        <f t="shared" si="11"/>
        <v>1.4498211259649783E-2</v>
      </c>
      <c r="BF32" s="371"/>
      <c r="BG32" s="372">
        <f t="shared" si="12"/>
        <v>-0.11264629007245994</v>
      </c>
      <c r="BH32" s="373">
        <f t="shared" si="13"/>
        <v>1.4498211259649783E-2</v>
      </c>
      <c r="BI32" s="373">
        <f t="shared" si="14"/>
        <v>-0.11264629007245994</v>
      </c>
    </row>
    <row r="33" spans="1:70" ht="14.25" x14ac:dyDescent="0.65">
      <c r="A33" s="1161"/>
      <c r="B33" s="341" t="s">
        <v>323</v>
      </c>
      <c r="C33" s="342">
        <v>36512</v>
      </c>
      <c r="D33" s="343">
        <v>6058</v>
      </c>
      <c r="E33" s="344">
        <v>56</v>
      </c>
      <c r="F33" s="343">
        <v>10824</v>
      </c>
      <c r="G33" s="345">
        <f>SUM(C24:C33)</f>
        <v>367632</v>
      </c>
      <c r="H33" s="345">
        <f>SUM(D24:D33)</f>
        <v>55887</v>
      </c>
      <c r="I33" s="345">
        <f>SUM(E24:E33)</f>
        <v>638</v>
      </c>
      <c r="J33" s="345">
        <f>SUM(F24:F33)</f>
        <v>102681</v>
      </c>
      <c r="K33" s="1176"/>
      <c r="L33" s="362">
        <f t="shared" si="15"/>
        <v>8.1580662361514303E-2</v>
      </c>
      <c r="M33" s="363">
        <f t="shared" si="16"/>
        <v>0.55373172608361121</v>
      </c>
      <c r="N33" s="364">
        <f t="shared" si="17"/>
        <v>-0.41666666666666669</v>
      </c>
      <c r="O33" s="365">
        <f t="shared" si="18"/>
        <v>0.13829004101377643</v>
      </c>
      <c r="P33" s="365">
        <f t="shared" si="19"/>
        <v>1.2314131512281088E-2</v>
      </c>
      <c r="Q33" s="365">
        <f t="shared" si="20"/>
        <v>-3.3581766933545455E-2</v>
      </c>
      <c r="R33" s="365">
        <f t="shared" si="21"/>
        <v>-0.30425299890948748</v>
      </c>
      <c r="S33" s="365">
        <f t="shared" si="22"/>
        <v>8.589346334034835E-2</v>
      </c>
      <c r="AL33">
        <f t="shared" si="2"/>
        <v>2017.7692307692312</v>
      </c>
      <c r="AO33">
        <f t="shared" si="3"/>
        <v>2017.9166666666649</v>
      </c>
      <c r="AP33" s="160">
        <f t="shared" si="10"/>
        <v>9.0789105307363116E-2</v>
      </c>
      <c r="AQ33" s="160">
        <f t="shared" si="10"/>
        <v>1.2992938620315047</v>
      </c>
      <c r="AW33" s="1226">
        <v>2018</v>
      </c>
      <c r="AX33" s="880" t="s">
        <v>570</v>
      </c>
      <c r="AY33" s="334">
        <v>15974</v>
      </c>
      <c r="AZ33" s="335">
        <f>INDEX($BK$16:$BL$19,MATCH($AX33,$BK$16:$BK$19,0),2)</f>
        <v>130</v>
      </c>
      <c r="BA33" s="336">
        <f>AY33/2*AZ33*$BS$13/10^3</f>
        <v>3250.2340609528223</v>
      </c>
      <c r="BB33" s="337">
        <f>AY33</f>
        <v>15974</v>
      </c>
      <c r="BC33" s="337">
        <f>BA33</f>
        <v>3250.2340609528223</v>
      </c>
      <c r="BD33" s="1238" t="str">
        <f>"Milli áranna "&amp; AW22&amp;" og "&amp; AW33</f>
        <v>Milli áranna 2017 og 2018</v>
      </c>
      <c r="BE33" s="360">
        <f t="shared" si="11"/>
        <v>-2.0060119011103612E-2</v>
      </c>
      <c r="BF33" s="360"/>
      <c r="BG33" s="360">
        <f t="shared" si="12"/>
        <v>-2.0060119011103494E-2</v>
      </c>
      <c r="BH33" s="361">
        <f t="shared" si="13"/>
        <v>-2.0060119011103612E-2</v>
      </c>
      <c r="BI33" s="361">
        <f t="shared" si="14"/>
        <v>-2.0060119011103494E-2</v>
      </c>
    </row>
    <row r="34" spans="1:70" ht="14.25" x14ac:dyDescent="0.65">
      <c r="A34" s="1161"/>
      <c r="B34" s="341" t="s">
        <v>326</v>
      </c>
      <c r="C34" s="342">
        <v>30610</v>
      </c>
      <c r="D34" s="343">
        <v>4536</v>
      </c>
      <c r="E34" s="344">
        <v>63</v>
      </c>
      <c r="F34" s="343">
        <v>8147</v>
      </c>
      <c r="G34" s="345">
        <f>SUM(C24:C34)</f>
        <v>398242</v>
      </c>
      <c r="H34" s="345">
        <f>SUM(D24:D34)</f>
        <v>60423</v>
      </c>
      <c r="I34" s="345">
        <f>SUM(E24:E34)</f>
        <v>701</v>
      </c>
      <c r="J34" s="345">
        <f>SUM(F24:F34)</f>
        <v>110828</v>
      </c>
      <c r="K34" s="1176"/>
      <c r="L34" s="362">
        <f t="shared" si="15"/>
        <v>5.0229877170109107E-2</v>
      </c>
      <c r="M34" s="363">
        <f t="shared" si="16"/>
        <v>0.11669128508124077</v>
      </c>
      <c r="N34" s="364">
        <f t="shared" si="17"/>
        <v>-5.9701492537313432E-2</v>
      </c>
      <c r="O34" s="365">
        <f t="shared" si="18"/>
        <v>6.4237183446571961E-3</v>
      </c>
      <c r="P34" s="365">
        <f t="shared" si="19"/>
        <v>1.5131045663334234E-2</v>
      </c>
      <c r="Q34" s="365">
        <f t="shared" si="20"/>
        <v>-2.3719119096476064E-2</v>
      </c>
      <c r="R34" s="365">
        <f t="shared" si="21"/>
        <v>-0.28760162601626016</v>
      </c>
      <c r="S34" s="365">
        <f t="shared" si="22"/>
        <v>7.9626707191146964E-2</v>
      </c>
      <c r="AL34">
        <f t="shared" si="2"/>
        <v>2017.8461538461543</v>
      </c>
      <c r="AO34">
        <f t="shared" si="3"/>
        <v>2017.9999999999982</v>
      </c>
      <c r="AP34" s="160">
        <f t="shared" ref="AP34:AQ45" si="23">L37</f>
        <v>6.0703001579778829E-2</v>
      </c>
      <c r="AQ34" s="160">
        <f t="shared" si="23"/>
        <v>0.53608247422680411</v>
      </c>
      <c r="AW34" s="1161"/>
      <c r="AX34" s="881" t="s">
        <v>573</v>
      </c>
      <c r="AY34" s="342">
        <v>19403</v>
      </c>
      <c r="AZ34" s="343">
        <f>INDEX($BK$16:$BL$19,MATCH($AX34,$BK$16:$BK$19,0),2)</f>
        <v>110</v>
      </c>
      <c r="BA34" s="344">
        <f>AY34/2*AZ34*$BS$13/10^3</f>
        <v>3340.559208383545</v>
      </c>
      <c r="BB34" s="345">
        <f>SUM(AY33:AY34)</f>
        <v>35377</v>
      </c>
      <c r="BC34" s="345">
        <f>SUM(BA33:BA34)</f>
        <v>6590.7932693363673</v>
      </c>
      <c r="BD34" s="1176"/>
      <c r="BE34" s="360">
        <f t="shared" si="11"/>
        <v>4.0059339525283795</v>
      </c>
      <c r="BF34" s="363"/>
      <c r="BG34" s="364">
        <f t="shared" si="12"/>
        <v>4.0059339525283795</v>
      </c>
      <c r="BH34" s="365">
        <f t="shared" si="13"/>
        <v>0.75333300292412153</v>
      </c>
      <c r="BI34" s="365">
        <f t="shared" si="14"/>
        <v>0.65427874397463759</v>
      </c>
    </row>
    <row r="35" spans="1:70" ht="15" thickBot="1" x14ac:dyDescent="0.8">
      <c r="A35" s="1175"/>
      <c r="B35" s="349" t="s">
        <v>327</v>
      </c>
      <c r="C35" s="350">
        <v>27273</v>
      </c>
      <c r="D35" s="351">
        <v>4233</v>
      </c>
      <c r="E35" s="352">
        <v>80</v>
      </c>
      <c r="F35" s="353">
        <v>9177</v>
      </c>
      <c r="G35" s="345">
        <f>SUM(C24:C35)</f>
        <v>425515</v>
      </c>
      <c r="H35" s="345">
        <f>SUM(D24:D35)</f>
        <v>64656</v>
      </c>
      <c r="I35" s="345">
        <f>SUM(E24:E35)</f>
        <v>781</v>
      </c>
      <c r="J35" s="345">
        <f>SUM(F24:F35)</f>
        <v>120005</v>
      </c>
      <c r="K35" s="1176"/>
      <c r="L35" s="366">
        <f t="shared" si="15"/>
        <v>9.0789105307363116E-2</v>
      </c>
      <c r="M35" s="367">
        <f t="shared" si="16"/>
        <v>1.2992938620315047</v>
      </c>
      <c r="N35" s="368">
        <f t="shared" si="17"/>
        <v>3.896103896103896E-2</v>
      </c>
      <c r="O35" s="369">
        <f t="shared" si="18"/>
        <v>1.0794140323824209E-2</v>
      </c>
      <c r="P35" s="369">
        <f t="shared" si="19"/>
        <v>1.9664085845260946E-2</v>
      </c>
      <c r="Q35" s="369">
        <f t="shared" si="20"/>
        <v>1.4498211259649783E-2</v>
      </c>
      <c r="R35" s="369">
        <f t="shared" si="21"/>
        <v>-0.26390197926484449</v>
      </c>
      <c r="S35" s="369">
        <f t="shared" si="22"/>
        <v>7.4033633751890662E-2</v>
      </c>
      <c r="AL35">
        <f t="shared" si="2"/>
        <v>2017.9230769230774</v>
      </c>
      <c r="AO35">
        <f t="shared" si="3"/>
        <v>2018.0833333333314</v>
      </c>
      <c r="AP35" s="160">
        <f t="shared" si="23"/>
        <v>-8.9979257563836637E-2</v>
      </c>
      <c r="AQ35" s="160">
        <f t="shared" si="23"/>
        <v>-0.45714991355890344</v>
      </c>
      <c r="AW35" s="1161"/>
      <c r="AX35" s="881" t="s">
        <v>575</v>
      </c>
      <c r="AY35" s="342">
        <v>25632</v>
      </c>
      <c r="AZ35" s="399">
        <f>INDEX($BK$16:$BL$19,MATCH($AX35,$BK$16:$BK$19,0),2)</f>
        <v>3.5</v>
      </c>
      <c r="BA35" s="344">
        <f>AY35/2*AZ35*$BS$13/10^3</f>
        <v>140.41326678747174</v>
      </c>
      <c r="BB35" s="345">
        <f>SUM(AY33:AY35)</f>
        <v>61009</v>
      </c>
      <c r="BC35" s="345">
        <f>SUM(BA33:BA35)</f>
        <v>6731.2065361238392</v>
      </c>
      <c r="BD35" s="1176"/>
      <c r="BE35" s="360">
        <f t="shared" si="11"/>
        <v>-0.38055535416515623</v>
      </c>
      <c r="BF35" s="363"/>
      <c r="BG35" s="364">
        <f t="shared" si="12"/>
        <v>-0.38055535416515623</v>
      </c>
      <c r="BH35" s="365">
        <f t="shared" si="13"/>
        <v>-8.8862174280330102E-3</v>
      </c>
      <c r="BI35" s="365">
        <f t="shared" si="14"/>
        <v>0.59857102314913535</v>
      </c>
    </row>
    <row r="36" spans="1:70" ht="15" thickBot="1" x14ac:dyDescent="0.8">
      <c r="A36" s="354" t="s">
        <v>3</v>
      </c>
      <c r="B36" s="370">
        <v>2017</v>
      </c>
      <c r="C36" s="356">
        <f>SUM(C24:C35)</f>
        <v>425515</v>
      </c>
      <c r="D36" s="356">
        <f>SUM(D24:D35)</f>
        <v>64656</v>
      </c>
      <c r="E36" s="356">
        <f>SUM(E24:E35)</f>
        <v>781</v>
      </c>
      <c r="F36" s="356">
        <f>SUM(F24:F35)</f>
        <v>120005</v>
      </c>
      <c r="G36" s="357">
        <f>G28</f>
        <v>156017</v>
      </c>
      <c r="H36" s="357">
        <f>H28</f>
        <v>24184</v>
      </c>
      <c r="I36" s="357">
        <f>I28</f>
        <v>309</v>
      </c>
      <c r="J36" s="357">
        <f>J28</f>
        <v>43136</v>
      </c>
      <c r="K36" s="1177"/>
      <c r="L36" s="371">
        <f t="shared" si="15"/>
        <v>1.9664085845260946E-2</v>
      </c>
      <c r="M36" s="371">
        <f t="shared" si="16"/>
        <v>1.4498211259649783E-2</v>
      </c>
      <c r="N36" s="372">
        <f t="shared" si="17"/>
        <v>-0.26390197926484449</v>
      </c>
      <c r="O36" s="373">
        <f t="shared" si="18"/>
        <v>7.4033633751890662E-2</v>
      </c>
      <c r="P36" s="373">
        <f t="shared" si="19"/>
        <v>1.2610823370588159E-2</v>
      </c>
      <c r="Q36" s="373">
        <f t="shared" si="20"/>
        <v>-0.13896108519955852</v>
      </c>
      <c r="R36" s="373">
        <f t="shared" si="21"/>
        <v>-0.28472222222222221</v>
      </c>
      <c r="S36" s="373">
        <f t="shared" si="22"/>
        <v>3.7796222783591966E-2</v>
      </c>
      <c r="AL36">
        <f t="shared" si="2"/>
        <v>2018.0000000000005</v>
      </c>
      <c r="AO36">
        <f t="shared" si="3"/>
        <v>2018.1666666666647</v>
      </c>
      <c r="AP36" s="160">
        <f t="shared" si="23"/>
        <v>-0.21806279755157559</v>
      </c>
      <c r="AQ36" s="160">
        <f t="shared" si="23"/>
        <v>-0.46619935844124988</v>
      </c>
      <c r="AW36" s="1161"/>
      <c r="AX36" s="881" t="s">
        <v>577</v>
      </c>
      <c r="AY36" s="342">
        <f>SUM(AY33:AY35)</f>
        <v>61009</v>
      </c>
      <c r="AZ36" s="343"/>
      <c r="BA36" s="344">
        <f>SUM(BA33:BA35)</f>
        <v>6731.2065361238392</v>
      </c>
      <c r="BB36" s="345">
        <f>SUM(AY33:AY35)</f>
        <v>61009</v>
      </c>
      <c r="BC36" s="345">
        <f>SUM(BA33:BA35)</f>
        <v>6731.2065361238392</v>
      </c>
      <c r="BD36" s="1176"/>
      <c r="BE36" s="360">
        <f t="shared" si="11"/>
        <v>-8.8862174280330102E-3</v>
      </c>
      <c r="BF36" s="363"/>
      <c r="BG36" s="364">
        <f t="shared" si="12"/>
        <v>0.59857102314913535</v>
      </c>
      <c r="BH36" s="365">
        <f t="shared" si="13"/>
        <v>-8.8862174280330102E-3</v>
      </c>
      <c r="BI36" s="365">
        <f t="shared" si="14"/>
        <v>0.59857102314913535</v>
      </c>
    </row>
    <row r="37" spans="1:70" ht="14.25" customHeight="1" x14ac:dyDescent="0.65">
      <c r="A37" s="1161">
        <v>2018</v>
      </c>
      <c r="B37" s="333" t="s">
        <v>295</v>
      </c>
      <c r="C37" s="334">
        <v>26857</v>
      </c>
      <c r="D37" s="335">
        <v>4470</v>
      </c>
      <c r="E37" s="336">
        <v>64</v>
      </c>
      <c r="F37" s="335">
        <v>10185</v>
      </c>
      <c r="G37" s="337">
        <f>C37</f>
        <v>26857</v>
      </c>
      <c r="H37" s="337">
        <f>D37</f>
        <v>4470</v>
      </c>
      <c r="I37" s="337">
        <f>E37</f>
        <v>64</v>
      </c>
      <c r="J37" s="337">
        <f>F37</f>
        <v>10185</v>
      </c>
      <c r="K37" s="1165" t="s">
        <v>359</v>
      </c>
      <c r="L37" s="360">
        <f t="shared" si="15"/>
        <v>6.0703001579778829E-2</v>
      </c>
      <c r="M37" s="360">
        <f t="shared" si="16"/>
        <v>0.53608247422680411</v>
      </c>
      <c r="N37" s="360">
        <f t="shared" si="17"/>
        <v>0.25490196078431371</v>
      </c>
      <c r="O37" s="361">
        <f t="shared" si="18"/>
        <v>0.23754556500607532</v>
      </c>
      <c r="P37" s="361">
        <f t="shared" si="19"/>
        <v>6.0703001579778829E-2</v>
      </c>
      <c r="Q37" s="361">
        <f t="shared" si="20"/>
        <v>0.53608247422680411</v>
      </c>
      <c r="R37" s="361">
        <f t="shared" si="21"/>
        <v>0.25490196078431371</v>
      </c>
      <c r="S37" s="361">
        <f t="shared" si="22"/>
        <v>0.23754556500607532</v>
      </c>
      <c r="AL37">
        <f t="shared" si="2"/>
        <v>2018.0769230769235</v>
      </c>
      <c r="AO37">
        <f t="shared" si="3"/>
        <v>2018.249999999998</v>
      </c>
      <c r="AP37" s="160">
        <f t="shared" si="23"/>
        <v>-1.8122661460875225E-2</v>
      </c>
      <c r="AQ37" s="160">
        <f t="shared" si="23"/>
        <v>0.55207166853303469</v>
      </c>
      <c r="AW37" s="1161"/>
      <c r="AX37" s="881" t="s">
        <v>570</v>
      </c>
      <c r="AY37" s="342">
        <v>1486</v>
      </c>
      <c r="AZ37" s="343">
        <f>INDEX($BK$16:$BL$19,MATCH($AX37,$BK$16:$BK$19,0),2)</f>
        <v>130</v>
      </c>
      <c r="BA37" s="344">
        <f>AY37/2*AZ37*$BS$13/10^3</f>
        <v>302.35681824063442</v>
      </c>
      <c r="BB37" s="345">
        <f>SUM(AY37)</f>
        <v>1486</v>
      </c>
      <c r="BC37" s="345">
        <f>SUM(BA37)</f>
        <v>302.35681824063442</v>
      </c>
      <c r="BD37" s="1176"/>
      <c r="BE37" s="360">
        <f t="shared" si="11"/>
        <v>-2.8122956180510136E-2</v>
      </c>
      <c r="BF37" s="363"/>
      <c r="BG37" s="364">
        <f t="shared" si="12"/>
        <v>-2.8122956180509896E-2</v>
      </c>
      <c r="BH37" s="365">
        <f t="shared" si="13"/>
        <v>-2.8122956180510136E-2</v>
      </c>
      <c r="BI37" s="365">
        <f t="shared" si="14"/>
        <v>-2.8122956180509896E-2</v>
      </c>
    </row>
    <row r="38" spans="1:70" ht="14.25" x14ac:dyDescent="0.65">
      <c r="A38" s="1161"/>
      <c r="B38" s="341" t="s">
        <v>299</v>
      </c>
      <c r="C38" s="342">
        <v>25446</v>
      </c>
      <c r="D38" s="343">
        <v>2198</v>
      </c>
      <c r="E38" s="344">
        <v>61</v>
      </c>
      <c r="F38" s="343">
        <v>8026</v>
      </c>
      <c r="G38" s="345">
        <f>SUM(C37:C38)</f>
        <v>52303</v>
      </c>
      <c r="H38" s="345">
        <f>SUM(D37:D38)</f>
        <v>6668</v>
      </c>
      <c r="I38" s="345">
        <f>SUM(E37:E38)</f>
        <v>125</v>
      </c>
      <c r="J38" s="345">
        <f>SUM(F37:F38)</f>
        <v>18211</v>
      </c>
      <c r="K38" s="1163"/>
      <c r="L38" s="362">
        <f t="shared" si="15"/>
        <v>-8.9979257563836637E-2</v>
      </c>
      <c r="M38" s="363">
        <f t="shared" si="16"/>
        <v>-0.45714991355890344</v>
      </c>
      <c r="N38" s="364">
        <f t="shared" si="17"/>
        <v>7.0175438596491224E-2</v>
      </c>
      <c r="O38" s="365">
        <f t="shared" si="18"/>
        <v>7.0990125433680273E-2</v>
      </c>
      <c r="P38" s="365">
        <f t="shared" si="19"/>
        <v>-1.8373934912353139E-2</v>
      </c>
      <c r="Q38" s="365">
        <f t="shared" si="20"/>
        <v>-4.181635292427073E-2</v>
      </c>
      <c r="R38" s="365">
        <f t="shared" si="21"/>
        <v>0.15740740740740741</v>
      </c>
      <c r="S38" s="365">
        <f t="shared" si="22"/>
        <v>0.15816586110404476</v>
      </c>
      <c r="AL38">
        <f t="shared" si="2"/>
        <v>2018.1538461538466</v>
      </c>
      <c r="AO38">
        <f t="shared" si="3"/>
        <v>2018.3333333333312</v>
      </c>
      <c r="AP38" s="160">
        <f t="shared" si="23"/>
        <v>-6.3793854870342129E-2</v>
      </c>
      <c r="AQ38" s="160">
        <f t="shared" si="23"/>
        <v>-2.1199388846447668E-2</v>
      </c>
      <c r="AW38" s="1161"/>
      <c r="AX38" s="881" t="s">
        <v>573</v>
      </c>
      <c r="AY38" s="342">
        <v>1695</v>
      </c>
      <c r="AZ38" s="343">
        <f>INDEX($BK$16:$BL$19,MATCH($AX38,$BK$16:$BK$19,0),2)</f>
        <v>110</v>
      </c>
      <c r="BA38" s="344">
        <f>AY38/2*AZ38*$BS$13/10^3</f>
        <v>291.82331898212175</v>
      </c>
      <c r="BB38" s="345">
        <f>SUM(AY37:AY38)</f>
        <v>3181</v>
      </c>
      <c r="BC38" s="345">
        <f>SUM(BA37:BA38)</f>
        <v>594.18013722275623</v>
      </c>
      <c r="BD38" s="1176"/>
      <c r="BE38" s="360">
        <f t="shared" si="11"/>
        <v>7.8930617441120302E-2</v>
      </c>
      <c r="BF38" s="363"/>
      <c r="BG38" s="364">
        <f t="shared" si="12"/>
        <v>7.8930617441120149E-2</v>
      </c>
      <c r="BH38" s="365">
        <f t="shared" si="13"/>
        <v>2.6129032258064518E-2</v>
      </c>
      <c r="BI38" s="365">
        <f t="shared" si="14"/>
        <v>2.1664244577210889E-2</v>
      </c>
    </row>
    <row r="39" spans="1:70" ht="14.25" x14ac:dyDescent="0.65">
      <c r="A39" s="1161"/>
      <c r="B39" s="341" t="s">
        <v>303</v>
      </c>
      <c r="C39" s="342">
        <v>27593</v>
      </c>
      <c r="D39" s="343">
        <v>4493</v>
      </c>
      <c r="E39" s="344">
        <v>60</v>
      </c>
      <c r="F39" s="343">
        <v>9262</v>
      </c>
      <c r="G39" s="345">
        <f>SUM(C37:C39)</f>
        <v>79896</v>
      </c>
      <c r="H39" s="345">
        <f>SUM(D37:D39)</f>
        <v>11161</v>
      </c>
      <c r="I39" s="345">
        <f>SUM(E37:E39)</f>
        <v>185</v>
      </c>
      <c r="J39" s="345">
        <f>SUM(F37:F39)</f>
        <v>27473</v>
      </c>
      <c r="K39" s="1163"/>
      <c r="L39" s="362">
        <f t="shared" si="15"/>
        <v>-0.21806279755157559</v>
      </c>
      <c r="M39" s="363">
        <f t="shared" si="16"/>
        <v>-0.46619935844124988</v>
      </c>
      <c r="N39" s="364">
        <f t="shared" si="17"/>
        <v>-0.14285714285714285</v>
      </c>
      <c r="O39" s="365">
        <f t="shared" si="18"/>
        <v>4.1142086330935253E-2</v>
      </c>
      <c r="P39" s="365">
        <f t="shared" si="19"/>
        <v>-9.7933837642542626E-2</v>
      </c>
      <c r="Q39" s="365">
        <f t="shared" si="20"/>
        <v>-0.27412851196670135</v>
      </c>
      <c r="R39" s="365">
        <f t="shared" si="21"/>
        <v>3.9325842696629212E-2</v>
      </c>
      <c r="S39" s="365">
        <f t="shared" si="22"/>
        <v>0.11588139723801787</v>
      </c>
      <c r="AL39">
        <f t="shared" si="2"/>
        <v>2018.2307692307697</v>
      </c>
      <c r="AO39">
        <f t="shared" si="3"/>
        <v>2018.4166666666645</v>
      </c>
      <c r="AP39" s="160">
        <f t="shared" si="23"/>
        <v>-7.8042581758895183E-2</v>
      </c>
      <c r="AQ39" s="160">
        <f t="shared" si="23"/>
        <v>-0.2303335431088735</v>
      </c>
      <c r="AW39" s="1161"/>
      <c r="AX39" s="881" t="s">
        <v>581</v>
      </c>
      <c r="AY39" s="342">
        <f>AY38+AY37</f>
        <v>3181</v>
      </c>
      <c r="AZ39" s="343"/>
      <c r="BA39" s="344">
        <f>SUM(BA37:BA38)</f>
        <v>594.18013722275623</v>
      </c>
      <c r="BB39" s="345">
        <f>SUM(AY39)</f>
        <v>3181</v>
      </c>
      <c r="BC39" s="345">
        <f>SUM(BA39)</f>
        <v>594.18013722275623</v>
      </c>
      <c r="BD39" s="1176"/>
      <c r="BE39" s="360">
        <f t="shared" si="11"/>
        <v>2.6129032258064518E-2</v>
      </c>
      <c r="BF39" s="363"/>
      <c r="BG39" s="364">
        <f t="shared" si="12"/>
        <v>2.1664244577210889E-2</v>
      </c>
      <c r="BH39" s="365">
        <f t="shared" si="13"/>
        <v>2.6129032258064518E-2</v>
      </c>
      <c r="BI39" s="365">
        <f t="shared" si="14"/>
        <v>2.1664244577210889E-2</v>
      </c>
    </row>
    <row r="40" spans="1:70" ht="14.25" x14ac:dyDescent="0.65">
      <c r="A40" s="1161"/>
      <c r="B40" s="341" t="s">
        <v>306</v>
      </c>
      <c r="C40" s="342">
        <v>30178</v>
      </c>
      <c r="D40" s="343">
        <v>5544</v>
      </c>
      <c r="E40" s="344">
        <v>55.7</v>
      </c>
      <c r="F40" s="343">
        <v>9359</v>
      </c>
      <c r="G40" s="345">
        <f>SUM(C37:C40)</f>
        <v>110074</v>
      </c>
      <c r="H40" s="345">
        <f>SUM(D37:D40)</f>
        <v>16705</v>
      </c>
      <c r="I40" s="345">
        <f>SUM(E37:E40)</f>
        <v>240.7</v>
      </c>
      <c r="J40" s="345">
        <f>SUM(F37:F40)</f>
        <v>36832</v>
      </c>
      <c r="K40" s="1163"/>
      <c r="L40" s="362">
        <f t="shared" si="15"/>
        <v>-1.8122661460875225E-2</v>
      </c>
      <c r="M40" s="363">
        <f t="shared" si="16"/>
        <v>0.55207166853303469</v>
      </c>
      <c r="N40" s="364">
        <f t="shared" si="17"/>
        <v>-0.12968749999999996</v>
      </c>
      <c r="O40" s="365">
        <f t="shared" si="18"/>
        <v>6.4490445859872611E-2</v>
      </c>
      <c r="P40" s="365">
        <f t="shared" si="19"/>
        <v>-7.7373119316038727E-2</v>
      </c>
      <c r="Q40" s="365">
        <f t="shared" si="20"/>
        <v>-0.1183766096685666</v>
      </c>
      <c r="R40" s="365">
        <f t="shared" si="21"/>
        <v>-5.3719008264463278E-3</v>
      </c>
      <c r="S40" s="365">
        <f t="shared" si="22"/>
        <v>0.10235843409553454</v>
      </c>
      <c r="AL40">
        <f t="shared" si="2"/>
        <v>2018.3076923076928</v>
      </c>
      <c r="AO40">
        <f t="shared" si="3"/>
        <v>2018.4999999999977</v>
      </c>
      <c r="AP40" s="160">
        <f t="shared" si="23"/>
        <v>-4.927047276869824E-2</v>
      </c>
      <c r="AQ40" s="160">
        <f t="shared" si="23"/>
        <v>2.6466696074106751E-3</v>
      </c>
      <c r="AW40" s="1161"/>
      <c r="AX40" s="882" t="s">
        <v>570</v>
      </c>
      <c r="AY40" s="421">
        <f>AY33+AY37</f>
        <v>17460</v>
      </c>
      <c r="AZ40" s="343">
        <f>INDEX($BK$16:$BL$19,MATCH($AX40,$BK$16:$BK$19,0),2)</f>
        <v>130</v>
      </c>
      <c r="BA40" s="344">
        <f>AY40/2*AZ40*$BS$13/10^3</f>
        <v>3552.5908791934562</v>
      </c>
      <c r="BB40" s="345">
        <f>SUM(AY40)</f>
        <v>17460</v>
      </c>
      <c r="BC40" s="345">
        <f>SUM(BA40)</f>
        <v>3552.5908791934562</v>
      </c>
      <c r="BD40" s="1176"/>
      <c r="BE40" s="360">
        <f t="shared" si="11"/>
        <v>-2.0751542344363431E-2</v>
      </c>
      <c r="BF40" s="363"/>
      <c r="BG40" s="364">
        <f t="shared" si="12"/>
        <v>-2.0751542344363522E-2</v>
      </c>
      <c r="BH40" s="365">
        <f t="shared" si="13"/>
        <v>-2.0751542344363431E-2</v>
      </c>
      <c r="BI40" s="365">
        <f t="shared" si="14"/>
        <v>-2.0751542344363522E-2</v>
      </c>
    </row>
    <row r="41" spans="1:70" ht="14.25" x14ac:dyDescent="0.65">
      <c r="A41" s="1161"/>
      <c r="B41" s="341" t="s">
        <v>310</v>
      </c>
      <c r="C41" s="342">
        <v>34370</v>
      </c>
      <c r="D41" s="343">
        <v>5125</v>
      </c>
      <c r="E41" s="344">
        <v>64.7</v>
      </c>
      <c r="F41" s="343">
        <v>11752</v>
      </c>
      <c r="G41" s="345">
        <f>SUM(C37:C41)</f>
        <v>144444</v>
      </c>
      <c r="H41" s="345">
        <f>SUM(D37:D41)</f>
        <v>21830</v>
      </c>
      <c r="I41" s="345">
        <f>SUM(E37:E41)</f>
        <v>305.39999999999998</v>
      </c>
      <c r="J41" s="345">
        <f>SUM(F37:F41)</f>
        <v>48584</v>
      </c>
      <c r="K41" s="1163"/>
      <c r="L41" s="362">
        <f t="shared" si="15"/>
        <v>-6.3793854870342129E-2</v>
      </c>
      <c r="M41" s="363">
        <f t="shared" si="16"/>
        <v>-2.1199388846447668E-2</v>
      </c>
      <c r="N41" s="364">
        <f t="shared" si="17"/>
        <v>-3.4328358208955183E-2</v>
      </c>
      <c r="O41" s="365">
        <f t="shared" si="18"/>
        <v>0.20855614973262032</v>
      </c>
      <c r="P41" s="365">
        <f t="shared" si="19"/>
        <v>-7.4177813956171443E-2</v>
      </c>
      <c r="Q41" s="365">
        <f t="shared" si="20"/>
        <v>-9.7337082368508104E-2</v>
      </c>
      <c r="R41" s="365">
        <f t="shared" si="21"/>
        <v>-1.1650485436893277E-2</v>
      </c>
      <c r="S41" s="365">
        <f t="shared" si="22"/>
        <v>0.12629821958456974</v>
      </c>
      <c r="AL41">
        <f t="shared" si="2"/>
        <v>2018.3846153846159</v>
      </c>
      <c r="AO41">
        <f t="shared" si="3"/>
        <v>2018.583333333331</v>
      </c>
      <c r="AP41" s="160">
        <f t="shared" si="23"/>
        <v>-3.6899283447855598E-2</v>
      </c>
      <c r="AQ41" s="160">
        <f t="shared" si="23"/>
        <v>0.25705329153605017</v>
      </c>
      <c r="AW41" s="1161"/>
      <c r="AX41" s="882" t="s">
        <v>573</v>
      </c>
      <c r="AY41" s="421">
        <f>AY34+AY38</f>
        <v>21098</v>
      </c>
      <c r="AZ41" s="343">
        <f>INDEX($BK$16:$BL$19,MATCH($AX41,$BK$16:$BK$19,0),2)</f>
        <v>110</v>
      </c>
      <c r="BA41" s="344">
        <f>AY41/2*AZ41*$BS$13/10^3</f>
        <v>3632.3825273656662</v>
      </c>
      <c r="BB41" s="345">
        <f>SUM(AY40:AY41)</f>
        <v>38558</v>
      </c>
      <c r="BC41" s="345">
        <f>SUM(BA40:BA41)</f>
        <v>7184.9734065591219</v>
      </c>
      <c r="BD41" s="1176"/>
      <c r="BE41" s="360">
        <f t="shared" si="11"/>
        <v>2.8733247659261978</v>
      </c>
      <c r="BF41" s="363"/>
      <c r="BG41" s="364">
        <f>(BA41-BA30)/BA30</f>
        <v>2.8733247659261973</v>
      </c>
      <c r="BH41" s="365">
        <f t="shared" si="13"/>
        <v>0.65648494221763976</v>
      </c>
      <c r="BI41" s="365">
        <f t="shared" si="14"/>
        <v>0.57369552324764217</v>
      </c>
    </row>
    <row r="42" spans="1:70" ht="15" thickBot="1" x14ac:dyDescent="0.8">
      <c r="A42" s="1161"/>
      <c r="B42" s="341" t="s">
        <v>314</v>
      </c>
      <c r="C42" s="342">
        <v>38453</v>
      </c>
      <c r="D42" s="343">
        <v>6115</v>
      </c>
      <c r="E42" s="344">
        <v>68.5</v>
      </c>
      <c r="F42" s="343">
        <v>11466</v>
      </c>
      <c r="G42" s="345">
        <f>SUM(C37:C42)</f>
        <v>182897</v>
      </c>
      <c r="H42" s="345">
        <f>SUM(D37:D42)</f>
        <v>27945</v>
      </c>
      <c r="I42" s="345">
        <f>SUM(E37:E42)</f>
        <v>373.9</v>
      </c>
      <c r="J42" s="345">
        <f>SUM(F37:F42)</f>
        <v>60050</v>
      </c>
      <c r="K42" s="1163"/>
      <c r="L42" s="362">
        <f t="shared" si="15"/>
        <v>-7.8042581758895183E-2</v>
      </c>
      <c r="M42" s="363">
        <f t="shared" si="16"/>
        <v>-0.2303335431088735</v>
      </c>
      <c r="N42" s="364">
        <f t="shared" si="17"/>
        <v>2.2388059701492536E-2</v>
      </c>
      <c r="O42" s="365">
        <f t="shared" si="18"/>
        <v>-4.2505219206680586E-2</v>
      </c>
      <c r="P42" s="365">
        <f t="shared" si="19"/>
        <v>-7.499304589707928E-2</v>
      </c>
      <c r="Q42" s="365">
        <f t="shared" si="20"/>
        <v>-0.130225030346416</v>
      </c>
      <c r="R42" s="365">
        <f t="shared" si="21"/>
        <v>-5.5851063829787835E-3</v>
      </c>
      <c r="S42" s="365">
        <f t="shared" si="22"/>
        <v>8.9619132296637691E-2</v>
      </c>
      <c r="AL42">
        <f t="shared" si="2"/>
        <v>2018.461538461539</v>
      </c>
      <c r="AO42">
        <f t="shared" si="3"/>
        <v>2018.6666666666642</v>
      </c>
      <c r="AP42" s="160">
        <f t="shared" si="23"/>
        <v>-8.2470119521912355E-2</v>
      </c>
      <c r="AQ42" s="160">
        <f t="shared" si="23"/>
        <v>6.2089116143170198E-2</v>
      </c>
      <c r="AW42" s="1162"/>
      <c r="AX42" s="882" t="s">
        <v>575</v>
      </c>
      <c r="AY42" s="421">
        <f>AY35</f>
        <v>25632</v>
      </c>
      <c r="AZ42" s="399">
        <f>INDEX($BK$16:$BL$19,MATCH($AX42,$BK$16:$BK$19,0),2)</f>
        <v>3.5</v>
      </c>
      <c r="BA42" s="344">
        <f>AY42/2*AZ42*$BS$13/10^3</f>
        <v>140.41326678747174</v>
      </c>
      <c r="BB42" s="345">
        <f>SUM(AY40:AY42)</f>
        <v>64190</v>
      </c>
      <c r="BC42" s="345">
        <f>SUM(BA40:BA42)</f>
        <v>7325.3866733465939</v>
      </c>
      <c r="BD42" s="1176"/>
      <c r="BE42" s="360">
        <f t="shared" si="11"/>
        <v>-0.38055535416515623</v>
      </c>
      <c r="BF42" s="363"/>
      <c r="BG42" s="364">
        <f t="shared" si="12"/>
        <v>-0.38055535416515623</v>
      </c>
      <c r="BH42" s="365">
        <f t="shared" si="13"/>
        <v>-7.2073744122741895E-3</v>
      </c>
      <c r="BI42" s="365">
        <f t="shared" si="14"/>
        <v>0.52855983211712076</v>
      </c>
    </row>
    <row r="43" spans="1:70" ht="15" thickBot="1" x14ac:dyDescent="0.8">
      <c r="A43" s="1161"/>
      <c r="B43" s="341" t="s">
        <v>316</v>
      </c>
      <c r="C43" s="342">
        <v>43397</v>
      </c>
      <c r="D43" s="343">
        <v>6819</v>
      </c>
      <c r="E43" s="344">
        <v>68.8</v>
      </c>
      <c r="F43" s="343">
        <v>12533</v>
      </c>
      <c r="G43" s="345">
        <f>SUM(C37:C43)</f>
        <v>226294</v>
      </c>
      <c r="H43" s="345">
        <f>SUM(D37:D43)</f>
        <v>34764</v>
      </c>
      <c r="I43" s="345">
        <f>SUM(E37:E43)</f>
        <v>442.7</v>
      </c>
      <c r="J43" s="345">
        <f>SUM(F37:F43)</f>
        <v>72583</v>
      </c>
      <c r="K43" s="1163"/>
      <c r="L43" s="362">
        <f t="shared" si="15"/>
        <v>-4.927047276869824E-2</v>
      </c>
      <c r="M43" s="363">
        <f t="shared" si="16"/>
        <v>2.6466696074106751E-3</v>
      </c>
      <c r="N43" s="364">
        <f t="shared" si="17"/>
        <v>2.6865671641791003E-2</v>
      </c>
      <c r="O43" s="365">
        <f t="shared" si="18"/>
        <v>9.6672842987190841E-3</v>
      </c>
      <c r="P43" s="365">
        <f t="shared" si="19"/>
        <v>-7.0168590341495085E-2</v>
      </c>
      <c r="Q43" s="365">
        <f t="shared" si="20"/>
        <v>-0.10701258669406627</v>
      </c>
      <c r="R43" s="365">
        <f t="shared" si="21"/>
        <v>-6.7720090293456293E-4</v>
      </c>
      <c r="S43" s="365">
        <f t="shared" si="22"/>
        <v>7.4921509389254196E-2</v>
      </c>
      <c r="AL43">
        <f t="shared" ref="AL43:AL75" si="24">AL42+$AL$2</f>
        <v>2018.5384615384621</v>
      </c>
      <c r="AO43">
        <f t="shared" si="3"/>
        <v>2018.7499999999975</v>
      </c>
      <c r="AP43" s="160">
        <f t="shared" si="23"/>
        <v>-4.4944127957931637E-2</v>
      </c>
      <c r="AQ43" s="160">
        <f t="shared" si="23"/>
        <v>-0.1236381644106966</v>
      </c>
      <c r="AW43" s="354" t="s">
        <v>3</v>
      </c>
      <c r="AX43" s="370">
        <f>AW33</f>
        <v>2018</v>
      </c>
      <c r="AY43" s="356">
        <f>SUM(AY40:AY42)</f>
        <v>64190</v>
      </c>
      <c r="AZ43" s="356"/>
      <c r="BA43" s="356">
        <f>SUM(BA40:BA42)</f>
        <v>7325.3866733465939</v>
      </c>
      <c r="BB43" s="357">
        <f>BB42</f>
        <v>64190</v>
      </c>
      <c r="BC43" s="357">
        <f>BC42</f>
        <v>7325.3866733465939</v>
      </c>
      <c r="BD43" s="1177"/>
      <c r="BE43" s="371">
        <f t="shared" si="11"/>
        <v>-7.2073744122741895E-3</v>
      </c>
      <c r="BF43" s="371"/>
      <c r="BG43" s="372">
        <f t="shared" si="12"/>
        <v>0.52855983211712076</v>
      </c>
      <c r="BH43" s="373">
        <f t="shared" si="13"/>
        <v>-7.2073744122741895E-3</v>
      </c>
      <c r="BI43" s="373">
        <f t="shared" si="14"/>
        <v>0.52855983211712076</v>
      </c>
    </row>
    <row r="44" spans="1:70" ht="14.25" x14ac:dyDescent="0.65">
      <c r="A44" s="1161"/>
      <c r="B44" s="341" t="s">
        <v>319</v>
      </c>
      <c r="C44" s="342">
        <v>45833</v>
      </c>
      <c r="D44" s="343">
        <v>6817</v>
      </c>
      <c r="E44" s="344">
        <v>79.5</v>
      </c>
      <c r="F44" s="343">
        <v>11880</v>
      </c>
      <c r="G44" s="345">
        <f>SUM(C37:C44)</f>
        <v>272127</v>
      </c>
      <c r="H44" s="345">
        <f>SUM(D37:D44)</f>
        <v>41581</v>
      </c>
      <c r="I44" s="345">
        <f>SUM(E37:E44)</f>
        <v>522.20000000000005</v>
      </c>
      <c r="J44" s="345">
        <f>SUM(F37:F44)</f>
        <v>84463</v>
      </c>
      <c r="K44" s="1163"/>
      <c r="L44" s="362">
        <f t="shared" si="15"/>
        <v>-3.6899283447855598E-2</v>
      </c>
      <c r="M44" s="363">
        <f t="shared" si="16"/>
        <v>0.25705329153605017</v>
      </c>
      <c r="N44" s="364">
        <f t="shared" si="17"/>
        <v>0.18656716417910449</v>
      </c>
      <c r="O44" s="365">
        <f t="shared" si="18"/>
        <v>-3.9145907473309607E-2</v>
      </c>
      <c r="P44" s="365">
        <f t="shared" si="19"/>
        <v>-6.4727110255705253E-2</v>
      </c>
      <c r="Q44" s="365">
        <f t="shared" si="20"/>
        <v>-6.2498590850675266E-2</v>
      </c>
      <c r="R44" s="365">
        <f t="shared" si="21"/>
        <v>2.3921568627451071E-2</v>
      </c>
      <c r="S44" s="365">
        <f t="shared" si="22"/>
        <v>5.7267674744642498E-2</v>
      </c>
      <c r="AL44">
        <f t="shared" si="24"/>
        <v>2018.6153846153852</v>
      </c>
      <c r="AO44">
        <f t="shared" si="3"/>
        <v>2018.8333333333308</v>
      </c>
      <c r="AP44" s="160">
        <f t="shared" si="23"/>
        <v>-0.12113688337144723</v>
      </c>
      <c r="AQ44" s="160">
        <f t="shared" si="23"/>
        <v>0.1917989417989418</v>
      </c>
      <c r="AW44" s="1226">
        <v>2019</v>
      </c>
      <c r="AX44" s="880" t="s">
        <v>570</v>
      </c>
      <c r="AY44" s="334">
        <v>14893</v>
      </c>
      <c r="AZ44" s="335">
        <f>INDEX($BK$16:$BL$19,MATCH($AX44,$BK$16:$BK$19,0),2)</f>
        <v>130</v>
      </c>
      <c r="BA44" s="336">
        <f>AY44/2*AZ44*$BS$13/10^3</f>
        <v>3030.2827012501803</v>
      </c>
      <c r="BB44" s="337">
        <f>AY44</f>
        <v>14893</v>
      </c>
      <c r="BC44" s="337">
        <f>BA44</f>
        <v>3030.2827012501803</v>
      </c>
      <c r="BD44" s="1238" t="str">
        <f>"Milli áranna "&amp; AW33&amp;" og "&amp; AW44</f>
        <v>Milli áranna 2018 og 2019</v>
      </c>
      <c r="BE44" s="360">
        <f t="shared" si="11"/>
        <v>-6.7672467760110183E-2</v>
      </c>
      <c r="BF44" s="360"/>
      <c r="BG44" s="360">
        <f t="shared" si="12"/>
        <v>-6.7672467760110253E-2</v>
      </c>
      <c r="BH44" s="361">
        <f t="shared" si="13"/>
        <v>-6.7672467760110183E-2</v>
      </c>
      <c r="BI44" s="361">
        <f t="shared" si="14"/>
        <v>-6.7672467760110253E-2</v>
      </c>
      <c r="BM44" t="s">
        <v>582</v>
      </c>
      <c r="BN44" t="s">
        <v>580</v>
      </c>
      <c r="BO44" t="s">
        <v>160</v>
      </c>
    </row>
    <row r="45" spans="1:70" ht="14.25" x14ac:dyDescent="0.65">
      <c r="A45" s="1161"/>
      <c r="B45" s="341" t="s">
        <v>321</v>
      </c>
      <c r="C45" s="342">
        <v>36848</v>
      </c>
      <c r="D45" s="343">
        <v>5816</v>
      </c>
      <c r="E45" s="344">
        <v>60.3</v>
      </c>
      <c r="F45" s="343">
        <v>11189</v>
      </c>
      <c r="G45" s="345">
        <f>SUM(C37:C45)</f>
        <v>308975</v>
      </c>
      <c r="H45" s="345">
        <f>SUM(D37:D45)</f>
        <v>47397</v>
      </c>
      <c r="I45" s="345">
        <f>SUM(E37:E45)</f>
        <v>582.5</v>
      </c>
      <c r="J45" s="345">
        <f>SUM(F37:F45)</f>
        <v>95652</v>
      </c>
      <c r="K45" s="1163"/>
      <c r="L45" s="362">
        <f t="shared" si="15"/>
        <v>-8.2470119521912355E-2</v>
      </c>
      <c r="M45" s="363">
        <f t="shared" si="16"/>
        <v>6.2089116143170198E-2</v>
      </c>
      <c r="N45" s="364">
        <f t="shared" si="17"/>
        <v>-0.16250000000000003</v>
      </c>
      <c r="O45" s="365">
        <f t="shared" si="18"/>
        <v>-6.5168351574901834E-2</v>
      </c>
      <c r="P45" s="365">
        <f t="shared" si="19"/>
        <v>-6.6879077071756457E-2</v>
      </c>
      <c r="Q45" s="365">
        <f t="shared" si="20"/>
        <v>-4.8806919665255175E-2</v>
      </c>
      <c r="R45" s="365">
        <f t="shared" si="21"/>
        <v>8.5910652920962198E-4</v>
      </c>
      <c r="S45" s="365">
        <f t="shared" si="22"/>
        <v>4.1314216662856396E-2</v>
      </c>
      <c r="AL45">
        <f t="shared" si="24"/>
        <v>2018.6923076923083</v>
      </c>
      <c r="AO45">
        <f t="shared" si="3"/>
        <v>2018.916666666664</v>
      </c>
      <c r="AP45" s="160">
        <f t="shared" si="23"/>
        <v>-0.13111868881311187</v>
      </c>
      <c r="AQ45" s="160">
        <f t="shared" si="23"/>
        <v>-0.26576895818568391</v>
      </c>
      <c r="AW45" s="1161"/>
      <c r="AX45" s="881" t="s">
        <v>573</v>
      </c>
      <c r="AY45" s="342">
        <v>18812</v>
      </c>
      <c r="AZ45" s="343">
        <f>INDEX($BK$16:$BL$19,MATCH($AX45,$BK$16:$BK$19,0),2)</f>
        <v>110</v>
      </c>
      <c r="BA45" s="344">
        <f>AY45/2*AZ45*$BS$13/10^3</f>
        <v>3238.8084228269468</v>
      </c>
      <c r="BB45" s="345">
        <f>SUM(AY44:AY45)</f>
        <v>33705</v>
      </c>
      <c r="BC45" s="345">
        <f>SUM(BA44:BA45)</f>
        <v>6269.0911240771275</v>
      </c>
      <c r="BD45" s="1176"/>
      <c r="BE45" s="360">
        <f t="shared" si="11"/>
        <v>-3.0459207339071277E-2</v>
      </c>
      <c r="BF45" s="363"/>
      <c r="BG45" s="364">
        <f t="shared" si="12"/>
        <v>-3.0459207339071277E-2</v>
      </c>
      <c r="BH45" s="365">
        <f t="shared" si="13"/>
        <v>-4.7262345591768666E-2</v>
      </c>
      <c r="BI45" s="365">
        <f t="shared" si="14"/>
        <v>-4.8810838409385021E-2</v>
      </c>
      <c r="BM45">
        <v>16108</v>
      </c>
      <c r="BN45">
        <v>130</v>
      </c>
      <c r="BO45">
        <f>BN45*BM45</f>
        <v>2094040</v>
      </c>
      <c r="BP45">
        <f>BO45/1000</f>
        <v>2094.04</v>
      </c>
      <c r="BQ45">
        <f>BR45/BP45</f>
        <v>2.1967106645527305E-2</v>
      </c>
      <c r="BR45">
        <v>46</v>
      </c>
    </row>
    <row r="46" spans="1:70" ht="14.25" x14ac:dyDescent="0.65">
      <c r="A46" s="1161"/>
      <c r="B46" s="341" t="s">
        <v>323</v>
      </c>
      <c r="C46" s="342">
        <v>34871</v>
      </c>
      <c r="D46" s="343">
        <v>5309</v>
      </c>
      <c r="E46" s="344">
        <v>70</v>
      </c>
      <c r="F46" s="343">
        <v>11016</v>
      </c>
      <c r="G46" s="345">
        <f>SUM(C37:C46)</f>
        <v>343846</v>
      </c>
      <c r="H46" s="345">
        <f>SUM(D37:D46)</f>
        <v>52706</v>
      </c>
      <c r="I46" s="345">
        <f>SUM(E37:E46)</f>
        <v>652.5</v>
      </c>
      <c r="J46" s="345">
        <f>SUM(F37:F46)</f>
        <v>106668</v>
      </c>
      <c r="K46" s="1163"/>
      <c r="L46" s="362">
        <f t="shared" si="15"/>
        <v>-4.4944127957931637E-2</v>
      </c>
      <c r="M46" s="363">
        <f t="shared" si="16"/>
        <v>-0.1236381644106966</v>
      </c>
      <c r="N46" s="364">
        <f t="shared" si="17"/>
        <v>0.25</v>
      </c>
      <c r="O46" s="365">
        <f t="shared" si="18"/>
        <v>1.7738359201773836E-2</v>
      </c>
      <c r="P46" s="365">
        <f t="shared" si="19"/>
        <v>-6.4700570135352742E-2</v>
      </c>
      <c r="Q46" s="365">
        <f t="shared" si="20"/>
        <v>-5.6918424678368849E-2</v>
      </c>
      <c r="R46" s="365">
        <f t="shared" si="21"/>
        <v>2.2727272727272728E-2</v>
      </c>
      <c r="S46" s="365">
        <f t="shared" si="22"/>
        <v>3.882899465334385E-2</v>
      </c>
      <c r="AL46">
        <f t="shared" si="24"/>
        <v>2018.7692307692314</v>
      </c>
      <c r="AO46">
        <f t="shared" si="3"/>
        <v>2018.9999999999973</v>
      </c>
      <c r="AP46" s="160">
        <f t="shared" ref="AP46:AQ57" si="25">L50</f>
        <v>-0.12153256134341141</v>
      </c>
      <c r="AQ46" s="160">
        <f t="shared" si="25"/>
        <v>-2.2371364653243847E-3</v>
      </c>
      <c r="AW46" s="1161"/>
      <c r="AX46" s="881" t="s">
        <v>575</v>
      </c>
      <c r="AY46" s="342">
        <v>23058</v>
      </c>
      <c r="AZ46" s="399">
        <f>INDEX($BK$16:$BL$19,MATCH($AX46,$BK$16:$BK$19,0),2)</f>
        <v>3.5</v>
      </c>
      <c r="BA46" s="344">
        <f>AY46/2*AZ46*$BS$13/10^3</f>
        <v>126.31277721541525</v>
      </c>
      <c r="BB46" s="345">
        <f>SUM(AY44:AY46)</f>
        <v>56763</v>
      </c>
      <c r="BC46" s="345">
        <f>SUM(BA44:BA46)</f>
        <v>6395.4039012925423</v>
      </c>
      <c r="BD46" s="1176"/>
      <c r="BE46" s="360">
        <f t="shared" si="11"/>
        <v>-0.10042134831460674</v>
      </c>
      <c r="BF46" s="363"/>
      <c r="BG46" s="364">
        <f t="shared" si="12"/>
        <v>-0.10042134831460665</v>
      </c>
      <c r="BH46" s="365">
        <f t="shared" si="13"/>
        <v>-6.959628907210412E-2</v>
      </c>
      <c r="BI46" s="365">
        <f t="shared" si="14"/>
        <v>-4.9887435934281799E-2</v>
      </c>
      <c r="BM46">
        <v>20523</v>
      </c>
      <c r="BN46">
        <v>110</v>
      </c>
      <c r="BO46">
        <f t="shared" ref="BO46:BO47" si="26">BN46*BM46</f>
        <v>2257530</v>
      </c>
      <c r="BP46">
        <f t="shared" ref="BP46:BP47" si="27">BO46/1000</f>
        <v>2257.5300000000002</v>
      </c>
      <c r="BQ46">
        <f t="shared" ref="BQ46:BQ47" si="28">BR46/BP46</f>
        <v>1.9933289923057498E-2</v>
      </c>
      <c r="BR46">
        <v>45</v>
      </c>
    </row>
    <row r="47" spans="1:70" ht="14.25" x14ac:dyDescent="0.65">
      <c r="A47" s="1161"/>
      <c r="B47" s="341" t="s">
        <v>326</v>
      </c>
      <c r="C47" s="342">
        <v>26902</v>
      </c>
      <c r="D47" s="343">
        <v>5406</v>
      </c>
      <c r="E47" s="344">
        <v>47</v>
      </c>
      <c r="F47" s="343">
        <v>9102</v>
      </c>
      <c r="G47" s="345">
        <f>SUM(C37:C47)</f>
        <v>370748</v>
      </c>
      <c r="H47" s="345">
        <f>SUM(D37:D47)</f>
        <v>58112</v>
      </c>
      <c r="I47" s="345">
        <f>SUM(E37:E47)</f>
        <v>699.5</v>
      </c>
      <c r="J47" s="345">
        <f>SUM(F37:F47)</f>
        <v>115770</v>
      </c>
      <c r="K47" s="1163"/>
      <c r="L47" s="362">
        <f t="shared" si="15"/>
        <v>-0.12113688337144723</v>
      </c>
      <c r="M47" s="363">
        <f t="shared" si="16"/>
        <v>0.1917989417989418</v>
      </c>
      <c r="N47" s="364">
        <f t="shared" si="17"/>
        <v>-0.25396825396825395</v>
      </c>
      <c r="O47" s="365">
        <f t="shared" si="18"/>
        <v>0.11722106296796367</v>
      </c>
      <c r="P47" s="365">
        <f t="shared" si="19"/>
        <v>-6.9038423872921487E-2</v>
      </c>
      <c r="Q47" s="365">
        <f t="shared" si="20"/>
        <v>-3.8247025139433656E-2</v>
      </c>
      <c r="R47" s="365">
        <f t="shared" si="21"/>
        <v>-2.1398002853067048E-3</v>
      </c>
      <c r="S47" s="365">
        <f t="shared" si="22"/>
        <v>4.4591619446349297E-2</v>
      </c>
      <c r="AL47">
        <f t="shared" si="24"/>
        <v>2018.8461538461545</v>
      </c>
      <c r="AO47">
        <f t="shared" si="3"/>
        <v>2019.0833333333305</v>
      </c>
      <c r="AP47" s="160">
        <f t="shared" si="25"/>
        <v>-3.0574550027509237E-2</v>
      </c>
      <c r="AQ47" s="160">
        <f t="shared" si="25"/>
        <v>0.8298453139217471</v>
      </c>
      <c r="AW47" s="1161"/>
      <c r="AX47" s="881" t="s">
        <v>577</v>
      </c>
      <c r="AY47" s="342">
        <f>SUM(AY44:AY46)</f>
        <v>56763</v>
      </c>
      <c r="AZ47" s="343"/>
      <c r="BA47" s="344">
        <f>SUM(BA44:BA46)</f>
        <v>6395.4039012925423</v>
      </c>
      <c r="BB47" s="345">
        <f>SUM(AY44:AY46)</f>
        <v>56763</v>
      </c>
      <c r="BC47" s="345">
        <f>SUM(BA44:BA46)</f>
        <v>6395.4039012925423</v>
      </c>
      <c r="BD47" s="1176"/>
      <c r="BE47" s="360">
        <f t="shared" si="11"/>
        <v>-6.959628907210412E-2</v>
      </c>
      <c r="BF47" s="363"/>
      <c r="BG47" s="364">
        <f t="shared" si="12"/>
        <v>-4.9887435934281799E-2</v>
      </c>
      <c r="BH47" s="365">
        <f t="shared" si="13"/>
        <v>-6.959628907210412E-2</v>
      </c>
      <c r="BI47" s="365">
        <f t="shared" si="14"/>
        <v>-4.9887435934281799E-2</v>
      </c>
      <c r="BM47">
        <v>23058</v>
      </c>
      <c r="BN47">
        <v>3.5</v>
      </c>
      <c r="BO47">
        <f t="shared" si="26"/>
        <v>80703</v>
      </c>
      <c r="BP47">
        <f t="shared" si="27"/>
        <v>80.703000000000003</v>
      </c>
      <c r="BQ47">
        <f t="shared" si="28"/>
        <v>2.4782226187378412E-2</v>
      </c>
      <c r="BR47">
        <v>2</v>
      </c>
    </row>
    <row r="48" spans="1:70" ht="15" thickBot="1" x14ac:dyDescent="0.8">
      <c r="A48" s="1227"/>
      <c r="B48" s="349" t="s">
        <v>327</v>
      </c>
      <c r="C48" s="350">
        <v>23697</v>
      </c>
      <c r="D48" s="351">
        <v>3108</v>
      </c>
      <c r="E48" s="352">
        <v>54</v>
      </c>
      <c r="F48" s="353">
        <v>9303</v>
      </c>
      <c r="G48" s="345">
        <f>SUM(C37:C48)</f>
        <v>394445</v>
      </c>
      <c r="H48" s="345">
        <f>SUM(D37:D48)</f>
        <v>61220</v>
      </c>
      <c r="I48" s="345">
        <f>SUM(E37:E48)</f>
        <v>753.5</v>
      </c>
      <c r="J48" s="345">
        <f>SUM(F37:F48)</f>
        <v>125073</v>
      </c>
      <c r="K48" s="1163"/>
      <c r="L48" s="366">
        <f t="shared" si="15"/>
        <v>-0.13111868881311187</v>
      </c>
      <c r="M48" s="367">
        <f t="shared" si="16"/>
        <v>-0.26576895818568391</v>
      </c>
      <c r="N48" s="368">
        <f t="shared" si="17"/>
        <v>-0.32500000000000001</v>
      </c>
      <c r="O48" s="369">
        <f t="shared" si="18"/>
        <v>1.3729977116704805E-2</v>
      </c>
      <c r="P48" s="369">
        <f t="shared" si="19"/>
        <v>-7.3017402441747065E-2</v>
      </c>
      <c r="Q48" s="369">
        <f t="shared" si="20"/>
        <v>-5.314278643900025E-2</v>
      </c>
      <c r="R48" s="369">
        <f t="shared" si="21"/>
        <v>-3.5211267605633804E-2</v>
      </c>
      <c r="S48" s="369">
        <f t="shared" si="22"/>
        <v>4.2231573684429813E-2</v>
      </c>
      <c r="AL48">
        <f t="shared" si="24"/>
        <v>2018.9230769230776</v>
      </c>
      <c r="AO48">
        <f t="shared" si="3"/>
        <v>2019.1666666666638</v>
      </c>
      <c r="AP48" s="160">
        <f t="shared" si="25"/>
        <v>0.20291378248106404</v>
      </c>
      <c r="AQ48" s="160">
        <f t="shared" si="25"/>
        <v>0.66102826619185395</v>
      </c>
      <c r="AW48" s="1161"/>
      <c r="AX48" s="881" t="s">
        <v>570</v>
      </c>
      <c r="AY48" s="342">
        <v>1215</v>
      </c>
      <c r="AZ48" s="343">
        <f>INDEX($BK$16:$BL$19,MATCH($AX48,$BK$16:$BK$19,0),2)</f>
        <v>130</v>
      </c>
      <c r="BA48" s="344">
        <f>AY48/2*AZ48*$BS$13/10^3</f>
        <v>247.21637561397765</v>
      </c>
      <c r="BB48" s="345">
        <f>SUM(AY48)</f>
        <v>1215</v>
      </c>
      <c r="BC48" s="345">
        <f>SUM(BA48)</f>
        <v>247.21637561397765</v>
      </c>
      <c r="BD48" s="1176"/>
      <c r="BE48" s="360">
        <f t="shared" si="11"/>
        <v>-0.18236877523553163</v>
      </c>
      <c r="BF48" s="363"/>
      <c r="BG48" s="364">
        <f t="shared" si="12"/>
        <v>-0.18236877523553172</v>
      </c>
      <c r="BH48" s="365">
        <f t="shared" si="13"/>
        <v>-0.18236877523553163</v>
      </c>
      <c r="BI48" s="365">
        <f t="shared" si="14"/>
        <v>-0.18236877523553172</v>
      </c>
    </row>
    <row r="49" spans="1:69" ht="15" thickBot="1" x14ac:dyDescent="0.8">
      <c r="A49" s="354" t="s">
        <v>3</v>
      </c>
      <c r="B49" s="370">
        <v>2018</v>
      </c>
      <c r="C49" s="356">
        <f>SUM(C37:C48)</f>
        <v>394445</v>
      </c>
      <c r="D49" s="356">
        <f>SUM(D37:D48)</f>
        <v>61220</v>
      </c>
      <c r="E49" s="356">
        <f>SUM(E37:E48)</f>
        <v>753.5</v>
      </c>
      <c r="F49" s="356">
        <f>SUM(F37:F48)</f>
        <v>125073</v>
      </c>
      <c r="G49" s="357">
        <f>G41</f>
        <v>144444</v>
      </c>
      <c r="H49" s="357">
        <f>H41</f>
        <v>21830</v>
      </c>
      <c r="I49" s="357">
        <f>I41</f>
        <v>305.39999999999998</v>
      </c>
      <c r="J49" s="357">
        <f>J41</f>
        <v>48584</v>
      </c>
      <c r="K49" s="1164"/>
      <c r="L49" s="371">
        <f t="shared" si="15"/>
        <v>-7.3017402441747065E-2</v>
      </c>
      <c r="M49" s="371">
        <f t="shared" si="16"/>
        <v>-5.314278643900025E-2</v>
      </c>
      <c r="N49" s="372">
        <f t="shared" si="17"/>
        <v>-3.5211267605633804E-2</v>
      </c>
      <c r="O49" s="373">
        <f t="shared" si="18"/>
        <v>4.2231573684429813E-2</v>
      </c>
      <c r="P49" s="373">
        <f t="shared" si="19"/>
        <v>-7.4177813956171443E-2</v>
      </c>
      <c r="Q49" s="373">
        <f t="shared" si="20"/>
        <v>-9.7337082368508104E-2</v>
      </c>
      <c r="R49" s="373">
        <f t="shared" si="21"/>
        <v>-1.1650485436893277E-2</v>
      </c>
      <c r="S49" s="373">
        <f t="shared" si="22"/>
        <v>0.12629821958456974</v>
      </c>
      <c r="AL49">
        <f t="shared" si="24"/>
        <v>2019.0000000000007</v>
      </c>
      <c r="AO49">
        <f t="shared" si="3"/>
        <v>2019.249999999997</v>
      </c>
      <c r="AP49" s="160">
        <f t="shared" si="25"/>
        <v>-0.13440254490025846</v>
      </c>
      <c r="AQ49" s="160">
        <f t="shared" si="25"/>
        <v>-0.22402597402597402</v>
      </c>
      <c r="AW49" s="1161"/>
      <c r="AX49" s="881" t="s">
        <v>573</v>
      </c>
      <c r="AY49" s="342">
        <v>1711</v>
      </c>
      <c r="AZ49" s="343">
        <f>INDEX($BK$16:$BL$19,MATCH($AX49,$BK$16:$BK$19,0),2)</f>
        <v>110</v>
      </c>
      <c r="BA49" s="344">
        <f>AY49/2*AZ49*$BS$13/10^3</f>
        <v>294.57799337959312</v>
      </c>
      <c r="BB49" s="345">
        <f>SUM(AY48:AY49)</f>
        <v>2926</v>
      </c>
      <c r="BC49" s="345">
        <f>SUM(BA48:BA49)</f>
        <v>541.79436899357074</v>
      </c>
      <c r="BD49" s="1176"/>
      <c r="BE49" s="360">
        <f t="shared" si="11"/>
        <v>9.4395280235988199E-3</v>
      </c>
      <c r="BF49" s="363"/>
      <c r="BG49" s="364">
        <f t="shared" si="12"/>
        <v>9.4395280235988911E-3</v>
      </c>
      <c r="BH49" s="365">
        <f t="shared" si="13"/>
        <v>-8.0163470606727447E-2</v>
      </c>
      <c r="BI49" s="365">
        <f t="shared" si="14"/>
        <v>-8.816479203434939E-2</v>
      </c>
      <c r="BQ49">
        <f>BP45*44</f>
        <v>92137.76</v>
      </c>
    </row>
    <row r="50" spans="1:69" ht="14.25" customHeight="1" x14ac:dyDescent="0.65">
      <c r="A50" s="1161">
        <v>2019</v>
      </c>
      <c r="B50" s="333" t="s">
        <v>295</v>
      </c>
      <c r="C50" s="334">
        <v>23593</v>
      </c>
      <c r="D50" s="335">
        <v>4460</v>
      </c>
      <c r="E50" s="336">
        <v>42</v>
      </c>
      <c r="F50" s="335">
        <v>8947</v>
      </c>
      <c r="G50" s="337">
        <f>C50</f>
        <v>23593</v>
      </c>
      <c r="H50" s="337">
        <f>D50</f>
        <v>4460</v>
      </c>
      <c r="I50" s="337">
        <f>E50</f>
        <v>42</v>
      </c>
      <c r="J50" s="337">
        <f>F50</f>
        <v>8947</v>
      </c>
      <c r="K50" s="1165" t="s">
        <v>532</v>
      </c>
      <c r="L50" s="360">
        <f t="shared" si="15"/>
        <v>-0.12153256134341141</v>
      </c>
      <c r="M50" s="360">
        <f t="shared" si="16"/>
        <v>-2.2371364653243847E-3</v>
      </c>
      <c r="N50" s="360">
        <f t="shared" si="17"/>
        <v>-0.34375</v>
      </c>
      <c r="O50" s="361">
        <f t="shared" si="18"/>
        <v>-0.12155130093274423</v>
      </c>
      <c r="P50" s="361">
        <f t="shared" si="19"/>
        <v>-0.12153256134341141</v>
      </c>
      <c r="Q50" s="361">
        <f t="shared" si="20"/>
        <v>-2.2371364653243847E-3</v>
      </c>
      <c r="R50" s="361">
        <f t="shared" si="21"/>
        <v>-0.34375</v>
      </c>
      <c r="S50" s="361">
        <f t="shared" si="22"/>
        <v>-0.12155130093274423</v>
      </c>
      <c r="AL50">
        <f t="shared" si="24"/>
        <v>2019.0769230769238</v>
      </c>
      <c r="AO50">
        <f t="shared" si="3"/>
        <v>2019.3333333333303</v>
      </c>
      <c r="AP50" s="160">
        <f t="shared" si="25"/>
        <v>-9.7556008146639506E-2</v>
      </c>
      <c r="AQ50" s="160">
        <f t="shared" si="25"/>
        <v>0.3135609756097561</v>
      </c>
      <c r="AW50" s="1161"/>
      <c r="AX50" s="881" t="s">
        <v>581</v>
      </c>
      <c r="AY50" s="342">
        <f>AY49+AY48</f>
        <v>2926</v>
      </c>
      <c r="AZ50" s="343"/>
      <c r="BA50" s="344">
        <f>SUM(BA48:BA49)</f>
        <v>541.79436899357074</v>
      </c>
      <c r="BB50" s="345">
        <f>SUM(AY50)</f>
        <v>2926</v>
      </c>
      <c r="BC50" s="345">
        <f>SUM(BA50)</f>
        <v>541.79436899357074</v>
      </c>
      <c r="BD50" s="1176"/>
      <c r="BE50" s="360">
        <f t="shared" si="11"/>
        <v>-8.0163470606727447E-2</v>
      </c>
      <c r="BF50" s="363"/>
      <c r="BG50" s="364">
        <f t="shared" si="12"/>
        <v>-8.816479203434939E-2</v>
      </c>
      <c r="BH50" s="365">
        <f t="shared" si="13"/>
        <v>-8.0163470606727447E-2</v>
      </c>
      <c r="BI50" s="365">
        <f t="shared" si="14"/>
        <v>-8.816479203434939E-2</v>
      </c>
      <c r="BQ50">
        <f t="shared" ref="BQ50:BQ51" si="29">BP46*44</f>
        <v>99331.32</v>
      </c>
    </row>
    <row r="51" spans="1:69" ht="14.25" x14ac:dyDescent="0.65">
      <c r="A51" s="1161"/>
      <c r="B51" s="341" t="s">
        <v>299</v>
      </c>
      <c r="C51" s="342">
        <v>24668</v>
      </c>
      <c r="D51" s="343">
        <v>4022</v>
      </c>
      <c r="E51" s="344">
        <v>52</v>
      </c>
      <c r="F51" s="343">
        <v>7634</v>
      </c>
      <c r="G51" s="345">
        <f>SUM(C50:C51)</f>
        <v>48261</v>
      </c>
      <c r="H51" s="345">
        <f>SUM(D50:D51)</f>
        <v>8482</v>
      </c>
      <c r="I51" s="345">
        <f>SUM(E50:E51)</f>
        <v>94</v>
      </c>
      <c r="J51" s="345">
        <f>SUM(F50:F51)</f>
        <v>16581</v>
      </c>
      <c r="K51" s="1163"/>
      <c r="L51" s="362">
        <f t="shared" si="15"/>
        <v>-3.0574550027509237E-2</v>
      </c>
      <c r="M51" s="363">
        <f t="shared" si="16"/>
        <v>0.8298453139217471</v>
      </c>
      <c r="N51" s="364">
        <f t="shared" si="17"/>
        <v>-0.14754098360655737</v>
      </c>
      <c r="O51" s="365">
        <f t="shared" si="18"/>
        <v>-4.884126588587092E-2</v>
      </c>
      <c r="P51" s="365">
        <f t="shared" si="19"/>
        <v>-7.728046192379022E-2</v>
      </c>
      <c r="Q51" s="365">
        <f t="shared" si="20"/>
        <v>0.27204559088182362</v>
      </c>
      <c r="R51" s="365">
        <f t="shared" si="21"/>
        <v>-0.248</v>
      </c>
      <c r="S51" s="365">
        <f t="shared" si="22"/>
        <v>-8.9506342320575472E-2</v>
      </c>
      <c r="AL51">
        <f t="shared" si="24"/>
        <v>2019.1538461538469</v>
      </c>
      <c r="AO51">
        <f t="shared" si="3"/>
        <v>2019.4166666666636</v>
      </c>
      <c r="AP51" s="160">
        <f t="shared" si="25"/>
        <v>-0.13777858684627989</v>
      </c>
      <c r="AQ51" s="160">
        <f t="shared" si="25"/>
        <v>1.6680294358135731E-2</v>
      </c>
      <c r="AW51" s="1161"/>
      <c r="AX51" s="882" t="s">
        <v>570</v>
      </c>
      <c r="AY51" s="421">
        <f>AY44+AY48</f>
        <v>16108</v>
      </c>
      <c r="AZ51" s="343">
        <f>INDEX($BK$16:$BL$19,MATCH($AX51,$BK$16:$BK$19,0),2)</f>
        <v>130</v>
      </c>
      <c r="BA51" s="344">
        <f>AY51/2*AZ51*$BS$13/10^3</f>
        <v>3277.4990768641578</v>
      </c>
      <c r="BB51" s="345">
        <f>SUM(AY51)</f>
        <v>16108</v>
      </c>
      <c r="BC51" s="345">
        <f>SUM(BA51)</f>
        <v>3277.4990768641578</v>
      </c>
      <c r="BD51" s="1176"/>
      <c r="BE51" s="360">
        <f t="shared" si="11"/>
        <v>-7.7434135166093931E-2</v>
      </c>
      <c r="BF51" s="363"/>
      <c r="BG51" s="364">
        <f t="shared" si="12"/>
        <v>-7.7434135166093876E-2</v>
      </c>
      <c r="BH51" s="365">
        <f t="shared" si="13"/>
        <v>-7.7434135166093931E-2</v>
      </c>
      <c r="BI51" s="365">
        <f t="shared" si="14"/>
        <v>-7.7434135166093876E-2</v>
      </c>
      <c r="BQ51">
        <f t="shared" si="29"/>
        <v>3550.9320000000002</v>
      </c>
    </row>
    <row r="52" spans="1:69" ht="14.25" x14ac:dyDescent="0.65">
      <c r="A52" s="1161"/>
      <c r="B52" s="341" t="s">
        <v>303</v>
      </c>
      <c r="C52" s="342">
        <v>33192</v>
      </c>
      <c r="D52" s="343">
        <v>7463</v>
      </c>
      <c r="E52" s="344">
        <v>60</v>
      </c>
      <c r="F52" s="343">
        <v>8747</v>
      </c>
      <c r="G52" s="345">
        <f>SUM(C50:C52)</f>
        <v>81453</v>
      </c>
      <c r="H52" s="345">
        <f>SUM(D50:D52)</f>
        <v>15945</v>
      </c>
      <c r="I52" s="345">
        <f>SUM(E50:E52)</f>
        <v>154</v>
      </c>
      <c r="J52" s="345">
        <f>SUM(F50:F52)</f>
        <v>25328</v>
      </c>
      <c r="K52" s="1163"/>
      <c r="L52" s="362">
        <f t="shared" si="15"/>
        <v>0.20291378248106404</v>
      </c>
      <c r="M52" s="363">
        <f t="shared" si="16"/>
        <v>0.66102826619185395</v>
      </c>
      <c r="N52" s="364">
        <f t="shared" si="17"/>
        <v>0</v>
      </c>
      <c r="O52" s="365">
        <f t="shared" si="18"/>
        <v>-5.5603541351759878E-2</v>
      </c>
      <c r="P52" s="365">
        <f t="shared" si="19"/>
        <v>1.9487834184439772E-2</v>
      </c>
      <c r="Q52" s="365">
        <f t="shared" si="20"/>
        <v>0.4286354269330705</v>
      </c>
      <c r="R52" s="365">
        <f t="shared" si="21"/>
        <v>-0.16756756756756758</v>
      </c>
      <c r="S52" s="365">
        <f t="shared" si="22"/>
        <v>-7.8076657081498205E-2</v>
      </c>
      <c r="AL52">
        <f t="shared" si="24"/>
        <v>2019.23076923077</v>
      </c>
      <c r="AO52">
        <f t="shared" si="3"/>
        <v>2019.4999999999968</v>
      </c>
      <c r="AP52" s="160">
        <f t="shared" si="25"/>
        <v>-0.14761389036108485</v>
      </c>
      <c r="AQ52" s="160">
        <f t="shared" si="25"/>
        <v>-8.5789705235371758E-2</v>
      </c>
      <c r="AW52" s="1161"/>
      <c r="AX52" s="882" t="s">
        <v>573</v>
      </c>
      <c r="AY52" s="421">
        <f>AY45+AY49</f>
        <v>20523</v>
      </c>
      <c r="AZ52" s="343">
        <f>INDEX($BK$16:$BL$19,MATCH($AX52,$BK$16:$BK$19,0),2)</f>
        <v>110</v>
      </c>
      <c r="BA52" s="344">
        <f>AY52/2*AZ52*$BS$13/10^3</f>
        <v>3533.3864162065397</v>
      </c>
      <c r="BB52" s="345">
        <f>SUM(AY51:AY52)</f>
        <v>36631</v>
      </c>
      <c r="BC52" s="345">
        <f>SUM(BA51:BA52)</f>
        <v>6810.8854930706975</v>
      </c>
      <c r="BD52" s="1176"/>
      <c r="BE52" s="360">
        <f t="shared" si="11"/>
        <v>-2.7253768129680538E-2</v>
      </c>
      <c r="BF52" s="363"/>
      <c r="BG52" s="364">
        <f t="shared" si="12"/>
        <v>-2.7253768129680441E-2</v>
      </c>
      <c r="BH52" s="365">
        <f t="shared" si="13"/>
        <v>-4.9976658540380726E-2</v>
      </c>
      <c r="BI52" s="365">
        <f t="shared" si="14"/>
        <v>-5.206531636525219E-2</v>
      </c>
    </row>
    <row r="53" spans="1:69" ht="15" thickBot="1" x14ac:dyDescent="0.8">
      <c r="A53" s="1161"/>
      <c r="B53" s="341" t="s">
        <v>306</v>
      </c>
      <c r="C53" s="342">
        <v>26122</v>
      </c>
      <c r="D53" s="343">
        <v>4302</v>
      </c>
      <c r="E53" s="344">
        <v>57.1</v>
      </c>
      <c r="F53" s="343">
        <v>9211</v>
      </c>
      <c r="G53" s="345">
        <f>SUM(C50:C53)</f>
        <v>107575</v>
      </c>
      <c r="H53" s="345">
        <f>SUM(D50:D53)</f>
        <v>20247</v>
      </c>
      <c r="I53" s="345">
        <f>SUM(E50:E53)</f>
        <v>211.1</v>
      </c>
      <c r="J53" s="345">
        <f>SUM(F50:F53)</f>
        <v>34539</v>
      </c>
      <c r="K53" s="1163"/>
      <c r="L53" s="362">
        <f t="shared" si="15"/>
        <v>-0.13440254490025846</v>
      </c>
      <c r="M53" s="363">
        <f t="shared" si="16"/>
        <v>-0.22402597402597402</v>
      </c>
      <c r="N53" s="364">
        <f t="shared" si="17"/>
        <v>2.5134649910233366E-2</v>
      </c>
      <c r="O53" s="365">
        <f t="shared" si="18"/>
        <v>-1.5813655305053957E-2</v>
      </c>
      <c r="P53" s="365">
        <f t="shared" si="19"/>
        <v>-2.2702908952159456E-2</v>
      </c>
      <c r="Q53" s="365">
        <f t="shared" si="20"/>
        <v>0.21203232565100269</v>
      </c>
      <c r="R53" s="365">
        <f t="shared" si="21"/>
        <v>-0.1229746572496884</v>
      </c>
      <c r="S53" s="365">
        <f t="shared" si="22"/>
        <v>-6.225564726324935E-2</v>
      </c>
      <c r="AL53">
        <f t="shared" si="24"/>
        <v>2019.3076923076931</v>
      </c>
      <c r="AO53">
        <f t="shared" si="3"/>
        <v>2019.5833333333301</v>
      </c>
      <c r="AP53" s="160">
        <f t="shared" si="25"/>
        <v>-0.15543385770078327</v>
      </c>
      <c r="AQ53" s="160">
        <f t="shared" si="25"/>
        <v>-8.4347953645298512E-2</v>
      </c>
      <c r="AW53" s="1162"/>
      <c r="AX53" s="882" t="s">
        <v>575</v>
      </c>
      <c r="AY53" s="421">
        <f>AY46</f>
        <v>23058</v>
      </c>
      <c r="AZ53" s="399">
        <f>INDEX($BK$16:$BL$19,MATCH($AX53,$BK$16:$BK$19,0),2)</f>
        <v>3.5</v>
      </c>
      <c r="BA53" s="344">
        <f>AY53/2*AZ53*$BS$13/10^3</f>
        <v>126.31277721541525</v>
      </c>
      <c r="BB53" s="345">
        <f>SUM(AY51:AY53)</f>
        <v>59689</v>
      </c>
      <c r="BC53" s="345">
        <f>SUM(BA51:BA53)</f>
        <v>6937.1982702861123</v>
      </c>
      <c r="BD53" s="1176"/>
      <c r="BE53" s="360">
        <f t="shared" si="11"/>
        <v>-0.10042134831460674</v>
      </c>
      <c r="BF53" s="363"/>
      <c r="BG53" s="364">
        <f t="shared" si="12"/>
        <v>-0.10042134831460665</v>
      </c>
      <c r="BH53" s="365">
        <f t="shared" si="13"/>
        <v>-7.011995637949836E-2</v>
      </c>
      <c r="BI53" s="365">
        <f t="shared" si="14"/>
        <v>-5.2992206469168968E-2</v>
      </c>
    </row>
    <row r="54" spans="1:69" ht="15" thickBot="1" x14ac:dyDescent="0.8">
      <c r="A54" s="1161"/>
      <c r="B54" s="341" t="s">
        <v>310</v>
      </c>
      <c r="C54" s="342">
        <v>31017</v>
      </c>
      <c r="D54" s="343">
        <v>6732</v>
      </c>
      <c r="E54" s="344">
        <v>56.9</v>
      </c>
      <c r="F54" s="343">
        <v>10210</v>
      </c>
      <c r="G54" s="345">
        <f>SUM(C50:C54)</f>
        <v>138592</v>
      </c>
      <c r="H54" s="345">
        <f>SUM(D50:D54)</f>
        <v>26979</v>
      </c>
      <c r="I54" s="345">
        <f>SUM(E50:E54)</f>
        <v>268</v>
      </c>
      <c r="J54" s="345">
        <f>SUM(F50:F54)</f>
        <v>44749</v>
      </c>
      <c r="K54" s="1163"/>
      <c r="L54" s="362">
        <f t="shared" si="15"/>
        <v>-9.7556008146639506E-2</v>
      </c>
      <c r="M54" s="363">
        <f t="shared" si="16"/>
        <v>0.3135609756097561</v>
      </c>
      <c r="N54" s="364">
        <f t="shared" si="17"/>
        <v>-0.12055641421947456</v>
      </c>
      <c r="O54" s="365">
        <f t="shared" si="18"/>
        <v>-0.13121170864533696</v>
      </c>
      <c r="P54" s="365">
        <f t="shared" si="19"/>
        <v>-4.0513970812217887E-2</v>
      </c>
      <c r="Q54" s="365">
        <f t="shared" si="20"/>
        <v>0.2358680714612918</v>
      </c>
      <c r="R54" s="365">
        <f t="shared" si="21"/>
        <v>-0.12246234446627367</v>
      </c>
      <c r="S54" s="365">
        <f t="shared" si="22"/>
        <v>-7.8935452000658657E-2</v>
      </c>
      <c r="AL54">
        <f t="shared" si="24"/>
        <v>2019.3846153846162</v>
      </c>
      <c r="AO54">
        <f t="shared" si="3"/>
        <v>2019.6666666666633</v>
      </c>
      <c r="AP54" s="160">
        <f t="shared" si="25"/>
        <v>-0.13365718627876683</v>
      </c>
      <c r="AQ54" s="160">
        <f t="shared" si="25"/>
        <v>-0.22025447042640992</v>
      </c>
      <c r="AW54" s="354" t="s">
        <v>3</v>
      </c>
      <c r="AX54" s="370">
        <f>AW44</f>
        <v>2019</v>
      </c>
      <c r="AY54" s="356">
        <f>SUM(AY51:AY53)</f>
        <v>59689</v>
      </c>
      <c r="AZ54" s="356"/>
      <c r="BA54" s="356">
        <f>SUM(BA51:BA53)</f>
        <v>6937.1982702861123</v>
      </c>
      <c r="BB54" s="357">
        <f>BB53</f>
        <v>59689</v>
      </c>
      <c r="BC54" s="357">
        <f>BC53</f>
        <v>6937.1982702861123</v>
      </c>
      <c r="BD54" s="1177"/>
      <c r="BE54" s="371">
        <f t="shared" si="11"/>
        <v>-7.011995637949836E-2</v>
      </c>
      <c r="BF54" s="371"/>
      <c r="BG54" s="372">
        <f t="shared" si="12"/>
        <v>-5.2992206469168968E-2</v>
      </c>
      <c r="BH54" s="373">
        <f t="shared" si="13"/>
        <v>-7.011995637949836E-2</v>
      </c>
      <c r="BI54" s="373">
        <f t="shared" si="14"/>
        <v>-5.2992206469168968E-2</v>
      </c>
    </row>
    <row r="55" spans="1:69" ht="14.25" x14ac:dyDescent="0.65">
      <c r="A55" s="1161"/>
      <c r="B55" s="341" t="s">
        <v>314</v>
      </c>
      <c r="C55" s="342">
        <v>33155</v>
      </c>
      <c r="D55" s="343">
        <v>6217</v>
      </c>
      <c r="E55" s="344">
        <v>43.7</v>
      </c>
      <c r="F55" s="343">
        <v>11291</v>
      </c>
      <c r="G55" s="345">
        <f>SUM(C50:C55)</f>
        <v>171747</v>
      </c>
      <c r="H55" s="345">
        <f>SUM(D50:D55)</f>
        <v>33196</v>
      </c>
      <c r="I55" s="345">
        <f>SUM(E50:E55)</f>
        <v>311.7</v>
      </c>
      <c r="J55" s="345">
        <f>SUM(F50:F55)</f>
        <v>56040</v>
      </c>
      <c r="K55" s="1163"/>
      <c r="L55" s="362">
        <f t="shared" si="15"/>
        <v>-0.13777858684627989</v>
      </c>
      <c r="M55" s="363">
        <f t="shared" si="16"/>
        <v>1.6680294358135731E-2</v>
      </c>
      <c r="N55" s="364">
        <f t="shared" si="17"/>
        <v>-0.36204379562043792</v>
      </c>
      <c r="O55" s="365">
        <f t="shared" si="18"/>
        <v>-1.5262515262515262E-2</v>
      </c>
      <c r="P55" s="365">
        <f t="shared" si="19"/>
        <v>-6.0963274411280667E-2</v>
      </c>
      <c r="Q55" s="365">
        <f t="shared" si="20"/>
        <v>0.18790481302558598</v>
      </c>
      <c r="R55" s="365">
        <f t="shared" si="21"/>
        <v>-0.16635464027814922</v>
      </c>
      <c r="S55" s="365">
        <f t="shared" si="22"/>
        <v>-6.6777685262281436E-2</v>
      </c>
      <c r="AL55">
        <f t="shared" si="24"/>
        <v>2019.4615384615392</v>
      </c>
      <c r="AO55">
        <f t="shared" si="3"/>
        <v>2019.7499999999966</v>
      </c>
      <c r="AP55" s="160">
        <f t="shared" si="25"/>
        <v>-0.15456969975050902</v>
      </c>
      <c r="AQ55" s="160">
        <f t="shared" si="25"/>
        <v>-0.15031079299303071</v>
      </c>
      <c r="AW55" s="1226">
        <v>2020</v>
      </c>
      <c r="AX55" s="880" t="s">
        <v>570</v>
      </c>
      <c r="AY55" s="334">
        <v>7614</v>
      </c>
      <c r="AZ55" s="335">
        <f>INDEX($BK$16:$BL$19,MATCH($AX55,$BK$16:$BK$19,0),2)</f>
        <v>130</v>
      </c>
      <c r="BA55" s="336">
        <f>AY55/2*AZ55*$BS$13/10^3</f>
        <v>1549.2226205142599</v>
      </c>
      <c r="BB55" s="337">
        <f>AY55</f>
        <v>7614</v>
      </c>
      <c r="BC55" s="337">
        <f>BA55</f>
        <v>1549.2226205142599</v>
      </c>
      <c r="BD55" s="1238" t="str">
        <f>"Milli áranna "&amp; AW44&amp;" og "&amp; AW55</f>
        <v>Milli áranna 2019 og 2020</v>
      </c>
      <c r="BE55" s="360">
        <f t="shared" si="11"/>
        <v>-0.4887531054857987</v>
      </c>
      <c r="BF55" s="360"/>
      <c r="BG55" s="360">
        <f t="shared" si="12"/>
        <v>-0.4887531054857987</v>
      </c>
      <c r="BH55" s="361">
        <f t="shared" si="13"/>
        <v>-0.4887531054857987</v>
      </c>
      <c r="BI55" s="361">
        <f t="shared" si="14"/>
        <v>-0.4887531054857987</v>
      </c>
    </row>
    <row r="56" spans="1:69" ht="14.25" x14ac:dyDescent="0.65">
      <c r="A56" s="1161"/>
      <c r="B56" s="341" t="s">
        <v>316</v>
      </c>
      <c r="C56" s="342">
        <v>36991</v>
      </c>
      <c r="D56" s="343">
        <v>6234</v>
      </c>
      <c r="E56" s="344">
        <v>59.5</v>
      </c>
      <c r="F56" s="343">
        <v>12324</v>
      </c>
      <c r="G56" s="345">
        <f>SUM(C50:C56)</f>
        <v>208738</v>
      </c>
      <c r="H56" s="345">
        <f>SUM(D50:D56)</f>
        <v>39430</v>
      </c>
      <c r="I56" s="345">
        <f>SUM(E50:E56)</f>
        <v>371.2</v>
      </c>
      <c r="J56" s="345">
        <f>SUM(F50:F56)</f>
        <v>68364</v>
      </c>
      <c r="K56" s="1163"/>
      <c r="L56" s="362">
        <f t="shared" ref="L56:L87" si="30">(C56-C43)/C43</f>
        <v>-0.14761389036108485</v>
      </c>
      <c r="M56" s="363">
        <f t="shared" ref="M56:M87" si="31">(D56-D43)/D43</f>
        <v>-8.5789705235371758E-2</v>
      </c>
      <c r="N56" s="364">
        <f t="shared" ref="N56:N87" si="32">(E56-E43)/E43</f>
        <v>-0.13517441860465113</v>
      </c>
      <c r="O56" s="365">
        <f t="shared" ref="O56:O87" si="33">(F56-F43)/F43</f>
        <v>-1.6675975424878323E-2</v>
      </c>
      <c r="P56" s="365">
        <f t="shared" ref="P56:P87" si="34">(G56-G43)/G43</f>
        <v>-7.75804926334768E-2</v>
      </c>
      <c r="Q56" s="365">
        <f t="shared" ref="Q56:Q87" si="35">(H56-H43)/H43</f>
        <v>0.13421930732942125</v>
      </c>
      <c r="R56" s="365">
        <f t="shared" ref="R56:R87" si="36">(I56-I43)/I43</f>
        <v>-0.16150892252089452</v>
      </c>
      <c r="S56" s="365">
        <f t="shared" ref="S56:S87" si="37">(J56-J43)/J43</f>
        <v>-5.8126558560544481E-2</v>
      </c>
      <c r="AL56">
        <f t="shared" si="24"/>
        <v>2019.5384615384623</v>
      </c>
      <c r="AO56">
        <f>AO55+$AO$2</f>
        <v>2019.8333333333298</v>
      </c>
      <c r="AP56" s="160">
        <f t="shared" si="25"/>
        <v>-4.1335216712512078E-2</v>
      </c>
      <c r="AQ56" s="160">
        <f t="shared" si="25"/>
        <v>-2.8671846096929337E-2</v>
      </c>
      <c r="AW56" s="1161"/>
      <c r="AX56" s="881" t="s">
        <v>573</v>
      </c>
      <c r="AY56" s="342">
        <v>15319</v>
      </c>
      <c r="AZ56" s="343">
        <f>INDEX($BK$16:$BL$19,MATCH($AX56,$BK$16:$BK$19,0),2)</f>
        <v>110</v>
      </c>
      <c r="BA56" s="344">
        <f>AY56/2*AZ56*$BS$13/10^3</f>
        <v>2637.4285684289812</v>
      </c>
      <c r="BB56" s="345">
        <f>SUM(AY55:AY56)</f>
        <v>22933</v>
      </c>
      <c r="BC56" s="345">
        <f>SUM(BA55:BA56)</f>
        <v>4186.6511889432413</v>
      </c>
      <c r="BD56" s="1176"/>
      <c r="BE56" s="360">
        <f t="shared" si="11"/>
        <v>-0.1856793536040825</v>
      </c>
      <c r="BF56" s="363"/>
      <c r="BG56" s="364">
        <f t="shared" si="12"/>
        <v>-0.18567935360408255</v>
      </c>
      <c r="BH56" s="365">
        <f t="shared" si="13"/>
        <v>-0.31959649903575138</v>
      </c>
      <c r="BI56" s="365">
        <f t="shared" si="14"/>
        <v>-0.33217573232203446</v>
      </c>
    </row>
    <row r="57" spans="1:69" ht="14.25" x14ac:dyDescent="0.65">
      <c r="A57" s="1161"/>
      <c r="B57" s="341" t="s">
        <v>319</v>
      </c>
      <c r="C57" s="342">
        <v>38709</v>
      </c>
      <c r="D57" s="343">
        <v>6242</v>
      </c>
      <c r="E57" s="344">
        <v>66.099999999999994</v>
      </c>
      <c r="F57" s="343">
        <v>12709</v>
      </c>
      <c r="G57" s="345">
        <f>SUM(C50:C57)</f>
        <v>247447</v>
      </c>
      <c r="H57" s="345">
        <f>SUM(D50:D57)</f>
        <v>45672</v>
      </c>
      <c r="I57" s="345">
        <f>SUM(E50:E57)</f>
        <v>437.29999999999995</v>
      </c>
      <c r="J57" s="345">
        <f>SUM(F50:F57)</f>
        <v>81073</v>
      </c>
      <c r="K57" s="1163"/>
      <c r="L57" s="362">
        <f t="shared" si="30"/>
        <v>-0.15543385770078327</v>
      </c>
      <c r="M57" s="363">
        <f t="shared" si="31"/>
        <v>-8.4347953645298512E-2</v>
      </c>
      <c r="N57" s="364">
        <f t="shared" si="32"/>
        <v>-0.16855345911949693</v>
      </c>
      <c r="O57" s="365">
        <f t="shared" si="33"/>
        <v>6.9781144781144777E-2</v>
      </c>
      <c r="P57" s="365">
        <f t="shared" si="34"/>
        <v>-9.0692948513010463E-2</v>
      </c>
      <c r="Q57" s="365">
        <f t="shared" si="35"/>
        <v>9.8386282196195371E-2</v>
      </c>
      <c r="R57" s="365">
        <f t="shared" si="36"/>
        <v>-0.16258138644197642</v>
      </c>
      <c r="S57" s="365">
        <f t="shared" si="37"/>
        <v>-4.0135917502338303E-2</v>
      </c>
      <c r="AL57">
        <f t="shared" si="24"/>
        <v>2019.6153846153854</v>
      </c>
      <c r="AO57">
        <f>AO56+$AO$2</f>
        <v>2019.9166666666631</v>
      </c>
      <c r="AP57" s="160">
        <f t="shared" si="25"/>
        <v>-8.0600919947672697E-2</v>
      </c>
      <c r="AQ57" s="160">
        <f t="shared" si="25"/>
        <v>-0.13481338481338481</v>
      </c>
      <c r="AW57" s="1161"/>
      <c r="AX57" s="881" t="s">
        <v>575</v>
      </c>
      <c r="AY57" s="342">
        <v>16164</v>
      </c>
      <c r="AZ57" s="399">
        <f>INDEX($BK$16:$BL$19,MATCH($AX57,$BK$16:$BK$19,0),2)</f>
        <v>3.5</v>
      </c>
      <c r="BA57" s="344">
        <f>AY57/2*AZ57*$BS$13/10^3</f>
        <v>88.547130319627556</v>
      </c>
      <c r="BB57" s="345">
        <f>SUM(AY55:AY57)</f>
        <v>39097</v>
      </c>
      <c r="BC57" s="345">
        <f>SUM(BA55:BA57)</f>
        <v>4275.1983192628686</v>
      </c>
      <c r="BD57" s="1176"/>
      <c r="BE57" s="360">
        <f t="shared" si="11"/>
        <v>-0.29898516783762685</v>
      </c>
      <c r="BF57" s="363"/>
      <c r="BG57" s="364">
        <f t="shared" si="12"/>
        <v>-0.29898516783762685</v>
      </c>
      <c r="BH57" s="365">
        <f t="shared" si="13"/>
        <v>-0.31122386061342777</v>
      </c>
      <c r="BI57" s="365">
        <f t="shared" si="14"/>
        <v>-0.3315202002489897</v>
      </c>
    </row>
    <row r="58" spans="1:69" ht="14.25" x14ac:dyDescent="0.65">
      <c r="A58" s="1161"/>
      <c r="B58" s="341" t="s">
        <v>321</v>
      </c>
      <c r="C58" s="342">
        <v>31923</v>
      </c>
      <c r="D58" s="343">
        <v>4535</v>
      </c>
      <c r="E58" s="344">
        <v>54.3</v>
      </c>
      <c r="F58" s="343">
        <v>11360</v>
      </c>
      <c r="G58" s="345">
        <f>SUM(C50:C58)</f>
        <v>279370</v>
      </c>
      <c r="H58" s="345">
        <f>SUM(D50:D58)</f>
        <v>50207</v>
      </c>
      <c r="I58" s="345">
        <f>SUM(E50:E58)</f>
        <v>491.59999999999997</v>
      </c>
      <c r="J58" s="345">
        <f>SUM(F50:F58)</f>
        <v>92433</v>
      </c>
      <c r="K58" s="1163"/>
      <c r="L58" s="362">
        <f t="shared" si="30"/>
        <v>-0.13365718627876683</v>
      </c>
      <c r="M58" s="363">
        <f t="shared" si="31"/>
        <v>-0.22025447042640992</v>
      </c>
      <c r="N58" s="364">
        <f t="shared" si="32"/>
        <v>-9.950248756218906E-2</v>
      </c>
      <c r="O58" s="365">
        <f t="shared" si="33"/>
        <v>1.5282867101617661E-2</v>
      </c>
      <c r="P58" s="365">
        <f t="shared" si="34"/>
        <v>-9.5816813658062952E-2</v>
      </c>
      <c r="Q58" s="365">
        <f t="shared" si="35"/>
        <v>5.9286452729075678E-2</v>
      </c>
      <c r="R58" s="365">
        <f t="shared" si="36"/>
        <v>-0.15605150214592281</v>
      </c>
      <c r="S58" s="365">
        <f t="shared" si="37"/>
        <v>-3.3653243005896373E-2</v>
      </c>
      <c r="AL58">
        <f t="shared" si="24"/>
        <v>2019.6923076923085</v>
      </c>
      <c r="AO58">
        <f t="shared" si="3"/>
        <v>2019.9999999999964</v>
      </c>
      <c r="AP58" s="160">
        <f t="shared" ref="AP58:AQ65" si="38">L63</f>
        <v>-0.13431950154706904</v>
      </c>
      <c r="AQ58" s="160">
        <f t="shared" si="38"/>
        <v>-0.41278026905829596</v>
      </c>
      <c r="AW58" s="1161"/>
      <c r="AX58" s="881" t="s">
        <v>577</v>
      </c>
      <c r="AY58" s="342">
        <f>SUM(AY55:AY57)</f>
        <v>39097</v>
      </c>
      <c r="AZ58" s="343"/>
      <c r="BA58" s="344">
        <f>SUM(BA55:BA57)</f>
        <v>4275.1983192628686</v>
      </c>
      <c r="BB58" s="345">
        <f>SUM(AY55:AY57)</f>
        <v>39097</v>
      </c>
      <c r="BC58" s="345">
        <f>SUM(BA55:BA57)</f>
        <v>4275.1983192628686</v>
      </c>
      <c r="BD58" s="1176"/>
      <c r="BE58" s="360">
        <f t="shared" si="11"/>
        <v>-0.31122386061342777</v>
      </c>
      <c r="BF58" s="363"/>
      <c r="BG58" s="364">
        <f t="shared" si="12"/>
        <v>-0.3315202002489897</v>
      </c>
      <c r="BH58" s="365">
        <f t="shared" si="13"/>
        <v>-0.31122386061342777</v>
      </c>
      <c r="BI58" s="365">
        <f t="shared" si="14"/>
        <v>-0.3315202002489897</v>
      </c>
    </row>
    <row r="59" spans="1:69" ht="14.25" x14ac:dyDescent="0.65">
      <c r="A59" s="1161"/>
      <c r="B59" s="341" t="s">
        <v>323</v>
      </c>
      <c r="C59" s="342">
        <v>29481</v>
      </c>
      <c r="D59" s="343">
        <v>4511</v>
      </c>
      <c r="E59" s="344">
        <v>54</v>
      </c>
      <c r="F59" s="343">
        <v>11792</v>
      </c>
      <c r="G59" s="345">
        <f>SUM(C50:C59)</f>
        <v>308851</v>
      </c>
      <c r="H59" s="345">
        <f>SUM(D50:D59)</f>
        <v>54718</v>
      </c>
      <c r="I59" s="345">
        <f>SUM(E50:E59)</f>
        <v>545.59999999999991</v>
      </c>
      <c r="J59" s="345">
        <f>SUM(F50:F59)</f>
        <v>104225</v>
      </c>
      <c r="K59" s="1163"/>
      <c r="L59" s="362">
        <f t="shared" si="30"/>
        <v>-0.15456969975050902</v>
      </c>
      <c r="M59" s="363">
        <f t="shared" si="31"/>
        <v>-0.15031079299303071</v>
      </c>
      <c r="N59" s="364">
        <f t="shared" si="32"/>
        <v>-0.22857142857142856</v>
      </c>
      <c r="O59" s="365">
        <f t="shared" si="33"/>
        <v>7.0442992011619465E-2</v>
      </c>
      <c r="P59" s="365">
        <f t="shared" si="34"/>
        <v>-0.1017752133222431</v>
      </c>
      <c r="Q59" s="365">
        <f t="shared" si="35"/>
        <v>3.817402193298676E-2</v>
      </c>
      <c r="R59" s="365">
        <f t="shared" si="36"/>
        <v>-0.16383141762452122</v>
      </c>
      <c r="S59" s="365">
        <f t="shared" si="37"/>
        <v>-2.290283871451607E-2</v>
      </c>
      <c r="AL59">
        <f t="shared" si="24"/>
        <v>2019.7692307692316</v>
      </c>
      <c r="AO59">
        <f t="shared" si="3"/>
        <v>2020.0833333333296</v>
      </c>
      <c r="AP59" s="160">
        <f t="shared" si="38"/>
        <v>-0.10738608723852765</v>
      </c>
      <c r="AQ59" s="160">
        <f t="shared" si="38"/>
        <v>-0.15116857284932869</v>
      </c>
      <c r="AW59" s="1161"/>
      <c r="AX59" s="881" t="s">
        <v>570</v>
      </c>
      <c r="AY59" s="342">
        <v>489</v>
      </c>
      <c r="AZ59" s="343">
        <f>INDEX($BK$16:$BL$19,MATCH($AX59,$BK$16:$BK$19,0),2)</f>
        <v>130</v>
      </c>
      <c r="BA59" s="344">
        <f>AY59/2*AZ59*$BS$13/10^3</f>
        <v>99.496961049576186</v>
      </c>
      <c r="BB59" s="345">
        <f>SUM(AY59)</f>
        <v>489</v>
      </c>
      <c r="BC59" s="345">
        <f>SUM(BA59)</f>
        <v>99.496961049576186</v>
      </c>
      <c r="BD59" s="1176"/>
      <c r="BE59" s="360">
        <f t="shared" si="11"/>
        <v>-0.59753086419753088</v>
      </c>
      <c r="BF59" s="363"/>
      <c r="BG59" s="364">
        <f t="shared" si="12"/>
        <v>-0.59753086419753088</v>
      </c>
      <c r="BH59" s="365">
        <f t="shared" si="13"/>
        <v>-0.59753086419753088</v>
      </c>
      <c r="BI59" s="365">
        <f t="shared" si="14"/>
        <v>-0.59753086419753088</v>
      </c>
    </row>
    <row r="60" spans="1:69" ht="14.25" x14ac:dyDescent="0.65">
      <c r="A60" s="1161"/>
      <c r="B60" s="341" t="s">
        <v>326</v>
      </c>
      <c r="C60" s="342">
        <v>25790</v>
      </c>
      <c r="D60" s="343">
        <v>5251</v>
      </c>
      <c r="E60" s="344">
        <v>50</v>
      </c>
      <c r="F60" s="343">
        <v>10453</v>
      </c>
      <c r="G60" s="345">
        <f>SUM(C50:C60)</f>
        <v>334641</v>
      </c>
      <c r="H60" s="345">
        <f>SUM(D50:D60)</f>
        <v>59969</v>
      </c>
      <c r="I60" s="345">
        <f>SUM(E50:E60)</f>
        <v>595.59999999999991</v>
      </c>
      <c r="J60" s="345">
        <f>SUM(F50:F60)</f>
        <v>114678</v>
      </c>
      <c r="K60" s="1163"/>
      <c r="L60" s="362">
        <f t="shared" si="30"/>
        <v>-4.1335216712512078E-2</v>
      </c>
      <c r="M60" s="363">
        <f t="shared" si="31"/>
        <v>-2.8671846096929337E-2</v>
      </c>
      <c r="N60" s="364">
        <f t="shared" si="32"/>
        <v>6.3829787234042548E-2</v>
      </c>
      <c r="O60" s="365">
        <f t="shared" si="33"/>
        <v>0.14842891672159964</v>
      </c>
      <c r="P60" s="365">
        <f t="shared" si="34"/>
        <v>-9.738960156224713E-2</v>
      </c>
      <c r="Q60" s="365">
        <f t="shared" si="35"/>
        <v>3.1955534140969161E-2</v>
      </c>
      <c r="R60" s="365">
        <f t="shared" si="36"/>
        <v>-0.1485346676197285</v>
      </c>
      <c r="S60" s="365">
        <f t="shared" si="37"/>
        <v>-9.4324954651464118E-3</v>
      </c>
      <c r="AL60">
        <f t="shared" si="24"/>
        <v>2019.8461538461547</v>
      </c>
      <c r="AO60">
        <f t="shared" si="3"/>
        <v>2020.1666666666629</v>
      </c>
      <c r="AP60" s="160">
        <f t="shared" si="38"/>
        <v>-0.58902747650036158</v>
      </c>
      <c r="AQ60" s="160">
        <f t="shared" si="38"/>
        <v>-0.49175934610746347</v>
      </c>
      <c r="AW60" s="1161"/>
      <c r="AX60" s="881" t="s">
        <v>573</v>
      </c>
      <c r="AY60" s="342">
        <v>975</v>
      </c>
      <c r="AZ60" s="343">
        <f>INDEX($BK$16:$BL$19,MATCH($AX60,$BK$16:$BK$19,0),2)</f>
        <v>110</v>
      </c>
      <c r="BA60" s="344">
        <f>AY60/2*AZ60*$BS$13/10^3</f>
        <v>167.86297109591072</v>
      </c>
      <c r="BB60" s="345">
        <f>SUM(AY59:AY60)</f>
        <v>1464</v>
      </c>
      <c r="BC60" s="345">
        <f>SUM(BA59:BA60)</f>
        <v>267.35993214548694</v>
      </c>
      <c r="BD60" s="1176"/>
      <c r="BE60" s="360">
        <f t="shared" si="11"/>
        <v>-0.43015780245470486</v>
      </c>
      <c r="BF60" s="363"/>
      <c r="BG60" s="364">
        <f t="shared" si="12"/>
        <v>-0.43015780245470497</v>
      </c>
      <c r="BH60" s="365">
        <f t="shared" si="13"/>
        <v>-0.49965823650034175</v>
      </c>
      <c r="BI60" s="365">
        <f t="shared" si="14"/>
        <v>-0.50652877282181652</v>
      </c>
    </row>
    <row r="61" spans="1:69" ht="15" thickBot="1" x14ac:dyDescent="0.8">
      <c r="A61" s="1227"/>
      <c r="B61" s="349" t="s">
        <v>327</v>
      </c>
      <c r="C61" s="350">
        <v>21787</v>
      </c>
      <c r="D61" s="351">
        <v>2689</v>
      </c>
      <c r="E61" s="352">
        <v>58</v>
      </c>
      <c r="F61" s="353">
        <v>9476</v>
      </c>
      <c r="G61" s="345">
        <f>SUM(C50:C61)</f>
        <v>356428</v>
      </c>
      <c r="H61" s="345">
        <f>SUM(D50:D61)</f>
        <v>62658</v>
      </c>
      <c r="I61" s="345">
        <f>SUM(E50:E61)</f>
        <v>653.59999999999991</v>
      </c>
      <c r="J61" s="345">
        <f>SUM(F50:F61)</f>
        <v>124154</v>
      </c>
      <c r="K61" s="1163"/>
      <c r="L61" s="366">
        <f t="shared" si="30"/>
        <v>-8.0600919947672697E-2</v>
      </c>
      <c r="M61" s="367">
        <f t="shared" si="31"/>
        <v>-0.13481338481338481</v>
      </c>
      <c r="N61" s="368">
        <f t="shared" si="32"/>
        <v>7.407407407407407E-2</v>
      </c>
      <c r="O61" s="369">
        <f t="shared" si="33"/>
        <v>1.8596151778996022E-2</v>
      </c>
      <c r="P61" s="369">
        <f t="shared" si="34"/>
        <v>-9.638099101268871E-2</v>
      </c>
      <c r="Q61" s="369">
        <f t="shared" si="35"/>
        <v>2.3489055864096699E-2</v>
      </c>
      <c r="R61" s="369">
        <f t="shared" si="36"/>
        <v>-0.13258128732581301</v>
      </c>
      <c r="S61" s="369">
        <f t="shared" si="37"/>
        <v>-7.3477089379802192E-3</v>
      </c>
      <c r="AL61">
        <f t="shared" si="24"/>
        <v>2019.9230769230778</v>
      </c>
      <c r="AO61">
        <f t="shared" si="3"/>
        <v>2020.2499999999961</v>
      </c>
      <c r="AP61" s="160">
        <f t="shared" si="38"/>
        <v>-0.88588163234055584</v>
      </c>
      <c r="AQ61" s="160">
        <f t="shared" si="38"/>
        <v>-0.63319386331938632</v>
      </c>
      <c r="AW61" s="1161"/>
      <c r="AX61" s="881" t="s">
        <v>581</v>
      </c>
      <c r="AY61" s="342">
        <f>AY60+AY59</f>
        <v>1464</v>
      </c>
      <c r="AZ61" s="343"/>
      <c r="BA61" s="344">
        <f>SUM(BA59:BA60)</f>
        <v>267.35993214548694</v>
      </c>
      <c r="BB61" s="345">
        <f>SUM(AY61)</f>
        <v>1464</v>
      </c>
      <c r="BC61" s="345">
        <f>SUM(BA61)</f>
        <v>267.35993214548694</v>
      </c>
      <c r="BD61" s="1176"/>
      <c r="BE61" s="360">
        <f t="shared" si="11"/>
        <v>-0.49965823650034175</v>
      </c>
      <c r="BF61" s="363"/>
      <c r="BG61" s="364">
        <f t="shared" si="12"/>
        <v>-0.50652877282181652</v>
      </c>
      <c r="BH61" s="365">
        <f t="shared" si="13"/>
        <v>-0.49965823650034175</v>
      </c>
      <c r="BI61" s="365">
        <f t="shared" si="14"/>
        <v>-0.50652877282181652</v>
      </c>
    </row>
    <row r="62" spans="1:69" ht="15" thickBot="1" x14ac:dyDescent="0.8">
      <c r="A62" s="354" t="s">
        <v>3</v>
      </c>
      <c r="B62" s="370">
        <v>2019</v>
      </c>
      <c r="C62" s="356">
        <f>SUM(C50:C61)</f>
        <v>356428</v>
      </c>
      <c r="D62" s="356">
        <f>SUM(D50:D61)</f>
        <v>62658</v>
      </c>
      <c r="E62" s="356">
        <f>SUM(E50:E61)</f>
        <v>653.59999999999991</v>
      </c>
      <c r="F62" s="356">
        <f>SUM(F50:F61)</f>
        <v>124154</v>
      </c>
      <c r="G62" s="357">
        <f>G54</f>
        <v>138592</v>
      </c>
      <c r="H62" s="357">
        <f>H54</f>
        <v>26979</v>
      </c>
      <c r="I62" s="357">
        <f>I54</f>
        <v>268</v>
      </c>
      <c r="J62" s="357">
        <f>J54</f>
        <v>44749</v>
      </c>
      <c r="K62" s="1164"/>
      <c r="L62" s="371">
        <f t="shared" si="30"/>
        <v>-9.638099101268871E-2</v>
      </c>
      <c r="M62" s="371">
        <f t="shared" si="31"/>
        <v>2.3489055864096699E-2</v>
      </c>
      <c r="N62" s="372">
        <f t="shared" si="32"/>
        <v>-0.13258128732581301</v>
      </c>
      <c r="O62" s="373">
        <f t="shared" si="33"/>
        <v>-7.3477089379802192E-3</v>
      </c>
      <c r="P62" s="373">
        <f t="shared" si="34"/>
        <v>-4.0513970812217887E-2</v>
      </c>
      <c r="Q62" s="373">
        <f t="shared" si="35"/>
        <v>0.2358680714612918</v>
      </c>
      <c r="R62" s="373">
        <f t="shared" si="36"/>
        <v>-0.12246234446627367</v>
      </c>
      <c r="S62" s="373">
        <f t="shared" si="37"/>
        <v>-7.8935452000658657E-2</v>
      </c>
      <c r="AL62">
        <f t="shared" si="24"/>
        <v>2020.0000000000009</v>
      </c>
      <c r="AO62">
        <f t="shared" si="3"/>
        <v>2020.3333333333294</v>
      </c>
      <c r="AP62" s="160">
        <f t="shared" si="38"/>
        <v>-0.75645613695715253</v>
      </c>
      <c r="AQ62" s="160">
        <f t="shared" si="38"/>
        <v>-0.42498514557338085</v>
      </c>
      <c r="AW62" s="1161"/>
      <c r="AX62" s="882" t="s">
        <v>570</v>
      </c>
      <c r="AY62" s="421">
        <f>AY55+AY59</f>
        <v>8103</v>
      </c>
      <c r="AZ62" s="343">
        <f>INDEX($BK$16:$BL$19,MATCH($AX62,$BK$16:$BK$19,0),2)</f>
        <v>130</v>
      </c>
      <c r="BA62" s="344">
        <f>AY62/2*AZ62*$BS$13/10^3</f>
        <v>1648.7195815638363</v>
      </c>
      <c r="BB62" s="345">
        <f>SUM(AY62)</f>
        <v>8103</v>
      </c>
      <c r="BC62" s="345">
        <f>SUM(BA62)</f>
        <v>1648.7195815638363</v>
      </c>
      <c r="BD62" s="1176"/>
      <c r="BE62" s="360">
        <f t="shared" si="11"/>
        <v>-0.49695803327539112</v>
      </c>
      <c r="BF62" s="363"/>
      <c r="BG62" s="364">
        <f t="shared" si="12"/>
        <v>-0.49695803327539101</v>
      </c>
      <c r="BH62" s="365">
        <f t="shared" si="13"/>
        <v>-0.49695803327539112</v>
      </c>
      <c r="BI62" s="365">
        <f t="shared" si="14"/>
        <v>-0.49695803327539101</v>
      </c>
    </row>
    <row r="63" spans="1:69" ht="14.25" customHeight="1" x14ac:dyDescent="0.65">
      <c r="A63" s="1161">
        <v>2020</v>
      </c>
      <c r="B63" s="333" t="s">
        <v>295</v>
      </c>
      <c r="C63" s="334">
        <v>20424</v>
      </c>
      <c r="D63" s="335">
        <v>2619</v>
      </c>
      <c r="E63" s="336">
        <v>43</v>
      </c>
      <c r="F63" s="335">
        <v>9112</v>
      </c>
      <c r="G63" s="337">
        <f>C63</f>
        <v>20424</v>
      </c>
      <c r="H63" s="337">
        <f>D63</f>
        <v>2619</v>
      </c>
      <c r="I63" s="337">
        <f>E63</f>
        <v>43</v>
      </c>
      <c r="J63" s="337">
        <f>F63</f>
        <v>9112</v>
      </c>
      <c r="K63" s="1165" t="s">
        <v>583</v>
      </c>
      <c r="L63" s="360">
        <f t="shared" si="30"/>
        <v>-0.13431950154706904</v>
      </c>
      <c r="M63" s="360">
        <f t="shared" si="31"/>
        <v>-0.41278026905829596</v>
      </c>
      <c r="N63" s="360">
        <f t="shared" si="32"/>
        <v>2.3809523809523808E-2</v>
      </c>
      <c r="O63" s="361">
        <f t="shared" si="33"/>
        <v>1.8441935844417123E-2</v>
      </c>
      <c r="P63" s="361">
        <f t="shared" si="34"/>
        <v>-0.13431950154706904</v>
      </c>
      <c r="Q63" s="361">
        <f t="shared" si="35"/>
        <v>-0.41278026905829596</v>
      </c>
      <c r="R63" s="361">
        <f t="shared" si="36"/>
        <v>2.3809523809523808E-2</v>
      </c>
      <c r="S63" s="361">
        <f t="shared" si="37"/>
        <v>1.8441935844417123E-2</v>
      </c>
      <c r="AL63">
        <f t="shared" si="24"/>
        <v>2020.076923076924</v>
      </c>
      <c r="AO63">
        <f t="shared" si="3"/>
        <v>2020.4166666666626</v>
      </c>
      <c r="AP63" s="160">
        <f t="shared" si="38"/>
        <v>-0.50502186698838791</v>
      </c>
      <c r="AQ63" s="160">
        <f t="shared" si="38"/>
        <v>-0.34775615248512143</v>
      </c>
      <c r="AW63" s="1161"/>
      <c r="AX63" s="882" t="s">
        <v>573</v>
      </c>
      <c r="AY63" s="421">
        <f>AY56+AY60</f>
        <v>16294</v>
      </c>
      <c r="AZ63" s="343">
        <f>INDEX($BK$16:$BL$19,MATCH($AX63,$BK$16:$BK$19,0),2)</f>
        <v>110</v>
      </c>
      <c r="BA63" s="344">
        <f>AY63/2*AZ63*$BS$13/10^3</f>
        <v>2805.291539524892</v>
      </c>
      <c r="BB63" s="345">
        <f>SUM(AY62:AY63)</f>
        <v>24397</v>
      </c>
      <c r="BC63" s="345">
        <f>SUM(BA62:BA63)</f>
        <v>4454.011121088728</v>
      </c>
      <c r="BD63" s="1176"/>
      <c r="BE63" s="360">
        <f t="shared" si="11"/>
        <v>-0.20606149198460263</v>
      </c>
      <c r="BF63" s="363"/>
      <c r="BG63" s="364">
        <f t="shared" si="12"/>
        <v>-0.20606149198460263</v>
      </c>
      <c r="BH63" s="365">
        <f t="shared" si="13"/>
        <v>-0.3339794163413502</v>
      </c>
      <c r="BI63" s="365">
        <f t="shared" si="14"/>
        <v>-0.34604522046066133</v>
      </c>
    </row>
    <row r="64" spans="1:69" ht="15" thickBot="1" x14ac:dyDescent="0.8">
      <c r="A64" s="1161"/>
      <c r="B64" s="341" t="s">
        <v>299</v>
      </c>
      <c r="C64" s="342">
        <v>22019</v>
      </c>
      <c r="D64" s="343">
        <v>3414</v>
      </c>
      <c r="E64" s="344">
        <v>45</v>
      </c>
      <c r="F64" s="343">
        <v>9970</v>
      </c>
      <c r="G64" s="345">
        <f>SUM(C63:C64)</f>
        <v>42443</v>
      </c>
      <c r="H64" s="345">
        <f>SUM(D63:D64)</f>
        <v>6033</v>
      </c>
      <c r="I64" s="345">
        <f>SUM(E63:E64)</f>
        <v>88</v>
      </c>
      <c r="J64" s="345">
        <f>SUM(F63:F64)</f>
        <v>19082</v>
      </c>
      <c r="K64" s="1163"/>
      <c r="L64" s="362">
        <f t="shared" si="30"/>
        <v>-0.10738608723852765</v>
      </c>
      <c r="M64" s="363">
        <f t="shared" si="31"/>
        <v>-0.15116857284932869</v>
      </c>
      <c r="N64" s="364">
        <f t="shared" si="32"/>
        <v>-0.13461538461538461</v>
      </c>
      <c r="O64" s="365">
        <f t="shared" si="33"/>
        <v>0.30599947602829447</v>
      </c>
      <c r="P64" s="365">
        <f t="shared" si="34"/>
        <v>-0.12055282733470089</v>
      </c>
      <c r="Q64" s="365">
        <f t="shared" si="35"/>
        <v>-0.2887290733317614</v>
      </c>
      <c r="R64" s="365">
        <f t="shared" si="36"/>
        <v>-6.3829787234042548E-2</v>
      </c>
      <c r="S64" s="365">
        <f t="shared" si="37"/>
        <v>0.15083529340811772</v>
      </c>
      <c r="AL64">
        <f t="shared" si="24"/>
        <v>2020.1538461538471</v>
      </c>
      <c r="AO64">
        <f t="shared" si="3"/>
        <v>2020.4999999999959</v>
      </c>
      <c r="AP64" s="160">
        <f t="shared" si="38"/>
        <v>-0.44959584763861482</v>
      </c>
      <c r="AQ64" s="160">
        <f t="shared" si="38"/>
        <v>-8.2451074751363485E-2</v>
      </c>
      <c r="AW64" s="1162"/>
      <c r="AX64" s="882" t="s">
        <v>575</v>
      </c>
      <c r="AY64" s="421">
        <f>AY57</f>
        <v>16164</v>
      </c>
      <c r="AZ64" s="399">
        <f>INDEX($BK$16:$BL$19,MATCH($AX64,$BK$16:$BK$19,0),2)</f>
        <v>3.5</v>
      </c>
      <c r="BA64" s="344">
        <f>AY64/2*AZ64*$BS$13/10^3</f>
        <v>88.547130319627556</v>
      </c>
      <c r="BB64" s="345">
        <f>SUM(AY62:AY64)</f>
        <v>40561</v>
      </c>
      <c r="BC64" s="345">
        <f>SUM(BA62:BA64)</f>
        <v>4542.5582514083553</v>
      </c>
      <c r="BD64" s="1176"/>
      <c r="BE64" s="360">
        <f t="shared" si="11"/>
        <v>-0.29898516783762685</v>
      </c>
      <c r="BF64" s="363"/>
      <c r="BG64" s="364">
        <f t="shared" si="12"/>
        <v>-0.29898516783762685</v>
      </c>
      <c r="BH64" s="365">
        <f t="shared" si="13"/>
        <v>-0.3204610564760676</v>
      </c>
      <c r="BI64" s="365">
        <f t="shared" si="14"/>
        <v>-0.34518834918336483</v>
      </c>
    </row>
    <row r="65" spans="1:71" ht="15" thickBot="1" x14ac:dyDescent="0.8">
      <c r="A65" s="1161"/>
      <c r="B65" s="341" t="s">
        <v>303</v>
      </c>
      <c r="C65" s="342">
        <v>13641</v>
      </c>
      <c r="D65" s="343">
        <v>3793</v>
      </c>
      <c r="E65" s="344">
        <v>42</v>
      </c>
      <c r="F65" s="343">
        <v>6839</v>
      </c>
      <c r="G65" s="345">
        <f>SUM(C63:C65)</f>
        <v>56084</v>
      </c>
      <c r="H65" s="345">
        <f>SUM(D63:D65)</f>
        <v>9826</v>
      </c>
      <c r="I65" s="345">
        <f>SUM(E63:E65)</f>
        <v>130</v>
      </c>
      <c r="J65" s="345">
        <f>SUM(F63:F65)</f>
        <v>25921</v>
      </c>
      <c r="K65" s="1163"/>
      <c r="L65" s="362">
        <f t="shared" si="30"/>
        <v>-0.58902747650036158</v>
      </c>
      <c r="M65" s="363">
        <f t="shared" si="31"/>
        <v>-0.49175934610746347</v>
      </c>
      <c r="N65" s="364">
        <f t="shared" si="32"/>
        <v>-0.3</v>
      </c>
      <c r="O65" s="365">
        <f t="shared" si="33"/>
        <v>-0.21813193094775352</v>
      </c>
      <c r="P65" s="365">
        <f t="shared" si="34"/>
        <v>-0.31145568610118718</v>
      </c>
      <c r="Q65" s="365">
        <f t="shared" si="35"/>
        <v>-0.38375666353088744</v>
      </c>
      <c r="R65" s="365">
        <f t="shared" si="36"/>
        <v>-0.15584415584415584</v>
      </c>
      <c r="S65" s="365">
        <f t="shared" si="37"/>
        <v>2.341282375236892E-2</v>
      </c>
      <c r="AL65">
        <f t="shared" si="24"/>
        <v>2020.2307692307702</v>
      </c>
      <c r="AO65">
        <f t="shared" si="3"/>
        <v>2020.5833333333292</v>
      </c>
      <c r="AP65" s="160">
        <f t="shared" si="38"/>
        <v>-0.56351236146632566</v>
      </c>
      <c r="AQ65" s="160">
        <f t="shared" si="38"/>
        <v>-0.26497917334187759</v>
      </c>
      <c r="AW65" s="354" t="s">
        <v>3</v>
      </c>
      <c r="AX65" s="370">
        <f>AW55</f>
        <v>2020</v>
      </c>
      <c r="AY65" s="356">
        <f>SUM(AY62:AY64)</f>
        <v>40561</v>
      </c>
      <c r="AZ65" s="356"/>
      <c r="BA65" s="356">
        <f>SUM(BA62:BA64)</f>
        <v>4542.5582514083553</v>
      </c>
      <c r="BB65" s="357">
        <f>BB64</f>
        <v>40561</v>
      </c>
      <c r="BC65" s="357">
        <f>BC64</f>
        <v>4542.5582514083553</v>
      </c>
      <c r="BD65" s="1177"/>
      <c r="BE65" s="371">
        <f t="shared" si="11"/>
        <v>-0.3204610564760676</v>
      </c>
      <c r="BF65" s="371"/>
      <c r="BG65" s="372">
        <f t="shared" si="12"/>
        <v>-0.34518834918336483</v>
      </c>
      <c r="BH65" s="373">
        <f t="shared" si="13"/>
        <v>-0.3204610564760676</v>
      </c>
      <c r="BI65" s="373">
        <f t="shared" si="14"/>
        <v>-0.34518834918336483</v>
      </c>
    </row>
    <row r="66" spans="1:71" ht="14.25" x14ac:dyDescent="0.65">
      <c r="A66" s="1161"/>
      <c r="B66" s="341" t="s">
        <v>306</v>
      </c>
      <c r="C66" s="342">
        <v>2981</v>
      </c>
      <c r="D66" s="343">
        <v>1578</v>
      </c>
      <c r="E66" s="344">
        <v>30.2</v>
      </c>
      <c r="F66" s="343">
        <v>1295</v>
      </c>
      <c r="G66" s="345">
        <f>SUM(C63:C66)</f>
        <v>59065</v>
      </c>
      <c r="H66" s="345">
        <f>SUM(D63:D66)</f>
        <v>11404</v>
      </c>
      <c r="I66" s="345">
        <f>SUM(E63:E66)</f>
        <v>160.19999999999999</v>
      </c>
      <c r="J66" s="345">
        <f>SUM(F63:F66)</f>
        <v>27216</v>
      </c>
      <c r="K66" s="1163"/>
      <c r="L66" s="362">
        <f t="shared" si="30"/>
        <v>-0.88588163234055584</v>
      </c>
      <c r="M66" s="363">
        <f t="shared" si="31"/>
        <v>-0.63319386331938632</v>
      </c>
      <c r="N66" s="364">
        <f t="shared" si="32"/>
        <v>-0.47110332749562173</v>
      </c>
      <c r="O66" s="365">
        <f t="shared" si="33"/>
        <v>-0.85940723048528933</v>
      </c>
      <c r="P66" s="365">
        <f t="shared" si="34"/>
        <v>-0.45094120381129443</v>
      </c>
      <c r="Q66" s="365">
        <f t="shared" si="35"/>
        <v>-0.43675606262656197</v>
      </c>
      <c r="R66" s="365">
        <f t="shared" si="36"/>
        <v>-0.24111795357650406</v>
      </c>
      <c r="S66" s="365">
        <f t="shared" si="37"/>
        <v>-0.21202119343350995</v>
      </c>
      <c r="AL66">
        <f t="shared" si="24"/>
        <v>2020.3076923076933</v>
      </c>
      <c r="AO66">
        <f t="shared" si="3"/>
        <v>2020.6666666666624</v>
      </c>
      <c r="AP66" s="160">
        <f t="shared" ref="AP66:AP73" si="39">L71</f>
        <v>-0.51708799298311559</v>
      </c>
      <c r="AQ66" s="160">
        <f t="shared" ref="AQ66:AQ73" si="40">M71</f>
        <v>-0.22183020948180815</v>
      </c>
      <c r="AW66" s="1226">
        <v>2021</v>
      </c>
      <c r="AX66" s="880" t="s">
        <v>570</v>
      </c>
      <c r="AY66" s="334">
        <v>16047</v>
      </c>
      <c r="AZ66" s="335">
        <f>INDEX($BK$16:$BL$19,MATCH($AX66,$BK$16:$BK$19,0),2)</f>
        <v>130</v>
      </c>
      <c r="BA66" s="336">
        <f>AY66/2*AZ66*$BS$13/10^3</f>
        <v>3265.0873905164603</v>
      </c>
      <c r="BB66" s="337">
        <f>AY66</f>
        <v>16047</v>
      </c>
      <c r="BC66" s="337">
        <f>BA66</f>
        <v>3265.0873905164603</v>
      </c>
      <c r="BD66" s="1238" t="str">
        <f>"Milli áranna "&amp; AW55&amp;" og "&amp; AW66</f>
        <v>Milli áranna 2020 og 2021</v>
      </c>
      <c r="BE66" s="360">
        <f>(AY66-AY55)/AY55</f>
        <v>1.1075650118203311</v>
      </c>
      <c r="BF66" s="360"/>
      <c r="BG66" s="360">
        <f t="shared" ref="BG66:BG76" si="41">(BA66-BA55)/BA55</f>
        <v>1.1075650118203311</v>
      </c>
      <c r="BH66" s="361">
        <f t="shared" ref="BH66:BH76" si="42">(BB66-BB55)/BB55</f>
        <v>1.1075650118203311</v>
      </c>
      <c r="BI66" s="361">
        <f t="shared" ref="BI66:BI76" si="43">(BC66-BC55)/BC55</f>
        <v>1.1075650118203311</v>
      </c>
    </row>
    <row r="67" spans="1:71" ht="14.25" x14ac:dyDescent="0.65">
      <c r="A67" s="1161"/>
      <c r="B67" s="341" t="s">
        <v>310</v>
      </c>
      <c r="C67" s="342">
        <v>7554</v>
      </c>
      <c r="D67" s="343">
        <v>3871</v>
      </c>
      <c r="E67" s="344">
        <v>36.799999999999997</v>
      </c>
      <c r="F67" s="343">
        <v>1713</v>
      </c>
      <c r="G67" s="345">
        <f>SUM(C63:C67)</f>
        <v>66619</v>
      </c>
      <c r="H67" s="345">
        <f>SUM(D63:D67)</f>
        <v>15275</v>
      </c>
      <c r="I67" s="345">
        <f>SUM(E63:E67)</f>
        <v>197</v>
      </c>
      <c r="J67" s="345">
        <f>SUM(F63:F67)</f>
        <v>28929</v>
      </c>
      <c r="K67" s="1163"/>
      <c r="L67" s="362">
        <f t="shared" si="30"/>
        <v>-0.75645613695715253</v>
      </c>
      <c r="M67" s="363">
        <f t="shared" si="31"/>
        <v>-0.42498514557338085</v>
      </c>
      <c r="N67" s="364">
        <f t="shared" si="32"/>
        <v>-0.35325131810193328</v>
      </c>
      <c r="O67" s="365">
        <f t="shared" si="33"/>
        <v>-0.8322233104799216</v>
      </c>
      <c r="P67" s="365">
        <f t="shared" si="34"/>
        <v>-0.51931568921727089</v>
      </c>
      <c r="Q67" s="365">
        <f t="shared" si="35"/>
        <v>-0.43381889617850922</v>
      </c>
      <c r="R67" s="365">
        <f t="shared" si="36"/>
        <v>-0.26492537313432835</v>
      </c>
      <c r="S67" s="365">
        <f t="shared" si="37"/>
        <v>-0.35352745312744421</v>
      </c>
      <c r="AL67">
        <f t="shared" si="24"/>
        <v>2020.3846153846164</v>
      </c>
      <c r="AO67">
        <f t="shared" si="3"/>
        <v>2020.7499999999957</v>
      </c>
      <c r="AP67" s="160">
        <f t="shared" si="39"/>
        <v>-0.70960957905091415</v>
      </c>
      <c r="AQ67" s="160">
        <f t="shared" si="40"/>
        <v>-0.39414763910441142</v>
      </c>
      <c r="AW67" s="1161"/>
      <c r="AX67" s="881" t="s">
        <v>573</v>
      </c>
      <c r="AY67" s="342">
        <v>17036</v>
      </c>
      <c r="AZ67" s="343">
        <f>INDEX($BK$16:$BL$19,MATCH($AX67,$BK$16:$BK$19,0),2)</f>
        <v>110</v>
      </c>
      <c r="BA67" s="344">
        <f>AY67/2*AZ67*$BS$13/10^3</f>
        <v>2933.0395647076261</v>
      </c>
      <c r="BB67" s="345">
        <f>SUM(AY66:AY67)</f>
        <v>33083</v>
      </c>
      <c r="BC67" s="345">
        <f>SUM(BA66:BA67)</f>
        <v>6198.1269552240865</v>
      </c>
      <c r="BD67" s="1176"/>
      <c r="BE67" s="360">
        <f t="shared" ref="BE67:BE76" si="44">(AY67-AY56)/AY56</f>
        <v>0.1120830341406097</v>
      </c>
      <c r="BF67" s="363"/>
      <c r="BG67" s="364">
        <f t="shared" si="41"/>
        <v>0.11208303414060973</v>
      </c>
      <c r="BH67" s="365">
        <f t="shared" si="42"/>
        <v>0.44259364234945275</v>
      </c>
      <c r="BI67" s="365">
        <f t="shared" si="43"/>
        <v>0.48044980952630179</v>
      </c>
    </row>
    <row r="68" spans="1:71" ht="14.25" x14ac:dyDescent="0.65">
      <c r="A68" s="1161"/>
      <c r="B68" s="341" t="s">
        <v>314</v>
      </c>
      <c r="C68" s="342">
        <v>16411</v>
      </c>
      <c r="D68" s="343">
        <v>4055</v>
      </c>
      <c r="E68" s="344">
        <v>40</v>
      </c>
      <c r="F68" s="343">
        <v>2603</v>
      </c>
      <c r="G68" s="345">
        <f>SUM(C63:C68)</f>
        <v>83030</v>
      </c>
      <c r="H68" s="345">
        <f>SUM(D63:D68)</f>
        <v>19330</v>
      </c>
      <c r="I68" s="345">
        <f>SUM(E63:E68)</f>
        <v>237</v>
      </c>
      <c r="J68" s="345">
        <f>SUM(F63:F68)</f>
        <v>31532</v>
      </c>
      <c r="K68" s="1163"/>
      <c r="L68" s="362">
        <f t="shared" si="30"/>
        <v>-0.50502186698838791</v>
      </c>
      <c r="M68" s="363">
        <f t="shared" si="31"/>
        <v>-0.34775615248512143</v>
      </c>
      <c r="N68" s="364">
        <f t="shared" si="32"/>
        <v>-8.4668192219679694E-2</v>
      </c>
      <c r="O68" s="365">
        <f t="shared" si="33"/>
        <v>-0.76946240368435037</v>
      </c>
      <c r="P68" s="365">
        <f t="shared" si="34"/>
        <v>-0.51655632995045042</v>
      </c>
      <c r="Q68" s="365">
        <f t="shared" si="35"/>
        <v>-0.41770092782262924</v>
      </c>
      <c r="R68" s="365">
        <f t="shared" si="36"/>
        <v>-0.23965351299326274</v>
      </c>
      <c r="S68" s="365">
        <f t="shared" si="37"/>
        <v>-0.43733047822983584</v>
      </c>
      <c r="AL68">
        <f t="shared" si="24"/>
        <v>2020.4615384615395</v>
      </c>
      <c r="AO68">
        <f t="shared" si="3"/>
        <v>2020.8333333333289</v>
      </c>
      <c r="AP68" s="160">
        <f t="shared" si="39"/>
        <v>-0.70383869716944547</v>
      </c>
      <c r="AQ68" s="160">
        <f t="shared" si="40"/>
        <v>-0.56636831079794325</v>
      </c>
      <c r="AW68" s="1161"/>
      <c r="AX68" s="881" t="s">
        <v>575</v>
      </c>
      <c r="AY68" s="342">
        <v>13614</v>
      </c>
      <c r="AZ68" s="399">
        <f>INDEX($BK$16:$BL$19,MATCH($AX68,$BK$16:$BK$19,0),2)</f>
        <v>3.5</v>
      </c>
      <c r="BA68" s="344">
        <f>AY68/2*AZ68*$BS$13/10^3</f>
        <v>74.578113843813995</v>
      </c>
      <c r="BB68" s="345">
        <f>SUM(AY66:AY68)</f>
        <v>46697</v>
      </c>
      <c r="BC68" s="345">
        <f>SUM(BA66:BA68)</f>
        <v>6272.7050690679007</v>
      </c>
      <c r="BD68" s="1176"/>
      <c r="BE68" s="360">
        <f t="shared" si="44"/>
        <v>-0.15775798069784708</v>
      </c>
      <c r="BF68" s="363"/>
      <c r="BG68" s="364">
        <f t="shared" si="41"/>
        <v>-0.15775798069784716</v>
      </c>
      <c r="BH68" s="365">
        <f t="shared" si="42"/>
        <v>0.19438831623909764</v>
      </c>
      <c r="BI68" s="365">
        <f t="shared" si="43"/>
        <v>0.46723136580701197</v>
      </c>
      <c r="BQ68" t="s">
        <v>584</v>
      </c>
      <c r="BR68" t="s">
        <v>585</v>
      </c>
    </row>
    <row r="69" spans="1:71" ht="14.25" x14ac:dyDescent="0.65">
      <c r="A69" s="1161"/>
      <c r="B69" s="341" t="s">
        <v>316</v>
      </c>
      <c r="C69" s="342">
        <v>20360</v>
      </c>
      <c r="D69" s="343">
        <v>5720</v>
      </c>
      <c r="E69" s="344">
        <v>43.8</v>
      </c>
      <c r="F69" s="343">
        <v>3221</v>
      </c>
      <c r="G69" s="345">
        <f>SUM(C63:C69)</f>
        <v>103390</v>
      </c>
      <c r="H69" s="345">
        <f>SUM(D63:D69)</f>
        <v>25050</v>
      </c>
      <c r="I69" s="345">
        <f>SUM(E63:E69)</f>
        <v>280.8</v>
      </c>
      <c r="J69" s="345">
        <f>SUM(F63:F69)</f>
        <v>34753</v>
      </c>
      <c r="K69" s="1163"/>
      <c r="L69" s="362">
        <f t="shared" si="30"/>
        <v>-0.44959584763861482</v>
      </c>
      <c r="M69" s="363">
        <f t="shared" si="31"/>
        <v>-8.2451074751363485E-2</v>
      </c>
      <c r="N69" s="364">
        <f t="shared" si="32"/>
        <v>-0.26386554621848746</v>
      </c>
      <c r="O69" s="365">
        <f t="shared" si="33"/>
        <v>-0.7386400519311912</v>
      </c>
      <c r="P69" s="365">
        <f t="shared" si="34"/>
        <v>-0.50469008996924369</v>
      </c>
      <c r="Q69" s="365">
        <f t="shared" si="35"/>
        <v>-0.36469693127060615</v>
      </c>
      <c r="R69" s="365">
        <f t="shared" si="36"/>
        <v>-0.24353448275862064</v>
      </c>
      <c r="S69" s="365">
        <f t="shared" si="37"/>
        <v>-0.49164765081036804</v>
      </c>
      <c r="AL69">
        <f t="shared" si="24"/>
        <v>2020.5384615384626</v>
      </c>
      <c r="AO69">
        <f t="shared" si="3"/>
        <v>2020.9166666666622</v>
      </c>
      <c r="AP69" s="160">
        <f t="shared" si="39"/>
        <v>-0.43484646807729382</v>
      </c>
      <c r="AQ69" s="160">
        <f t="shared" si="40"/>
        <v>-0.11342506507995537</v>
      </c>
      <c r="AW69" s="1161"/>
      <c r="AX69" s="881" t="s">
        <v>577</v>
      </c>
      <c r="AY69" s="342">
        <f>SUM(AY66:AY68)</f>
        <v>46697</v>
      </c>
      <c r="AZ69" s="343"/>
      <c r="BA69" s="344">
        <f>SUM(BA66:BA68)</f>
        <v>6272.7050690679007</v>
      </c>
      <c r="BB69" s="345">
        <f>SUM(AY66:AY68)</f>
        <v>46697</v>
      </c>
      <c r="BC69" s="345">
        <f>SUM(BA66:BA68)</f>
        <v>6272.7050690679007</v>
      </c>
      <c r="BD69" s="1176"/>
      <c r="BE69" s="360">
        <f t="shared" si="44"/>
        <v>0.19438831623909764</v>
      </c>
      <c r="BF69" s="363"/>
      <c r="BG69" s="364">
        <f t="shared" si="41"/>
        <v>0.46723136580701197</v>
      </c>
      <c r="BH69" s="365">
        <f t="shared" si="42"/>
        <v>0.19438831623909764</v>
      </c>
      <c r="BI69" s="365">
        <f t="shared" si="43"/>
        <v>0.46723136580701197</v>
      </c>
      <c r="BO69">
        <f>AY62/2*AZ62</f>
        <v>526695</v>
      </c>
      <c r="BQ69">
        <f>SUMPRODUCT(AY62:AY64,AZ62:AZ64)/2/1000</f>
        <v>1451.152</v>
      </c>
      <c r="BR69">
        <f>BQ69*BR12/1000000</f>
        <v>6.4373102720000006E-2</v>
      </c>
      <c r="BS69">
        <f>BR69*BQ12</f>
        <v>4543.1932913141345</v>
      </c>
    </row>
    <row r="70" spans="1:71" ht="14.25" x14ac:dyDescent="0.65">
      <c r="A70" s="1161"/>
      <c r="B70" s="341" t="s">
        <v>319</v>
      </c>
      <c r="C70" s="342">
        <v>16896</v>
      </c>
      <c r="D70" s="343">
        <v>4588</v>
      </c>
      <c r="E70" s="344">
        <v>40.299999999999997</v>
      </c>
      <c r="F70" s="343">
        <v>3754</v>
      </c>
      <c r="G70" s="345">
        <f>SUM(C63:C70)</f>
        <v>120286</v>
      </c>
      <c r="H70" s="345">
        <f>SUM(D63:D70)</f>
        <v>29638</v>
      </c>
      <c r="I70" s="345">
        <f>SUM(E63:E70)</f>
        <v>321.10000000000002</v>
      </c>
      <c r="J70" s="345">
        <f>SUM(F63:F70)</f>
        <v>38507</v>
      </c>
      <c r="K70" s="1163"/>
      <c r="L70" s="362">
        <f t="shared" si="30"/>
        <v>-0.56351236146632566</v>
      </c>
      <c r="M70" s="363">
        <f t="shared" si="31"/>
        <v>-0.26497917334187759</v>
      </c>
      <c r="N70" s="364">
        <f t="shared" si="32"/>
        <v>-0.39031770045385777</v>
      </c>
      <c r="O70" s="365">
        <f t="shared" si="33"/>
        <v>-0.7046187740970965</v>
      </c>
      <c r="P70" s="365">
        <f t="shared" si="34"/>
        <v>-0.51389186371222928</v>
      </c>
      <c r="Q70" s="365">
        <f t="shared" si="35"/>
        <v>-0.35106848835172533</v>
      </c>
      <c r="R70" s="365">
        <f t="shared" si="36"/>
        <v>-0.26572147267322194</v>
      </c>
      <c r="S70" s="365">
        <f t="shared" si="37"/>
        <v>-0.52503299495516387</v>
      </c>
      <c r="AL70">
        <f t="shared" si="24"/>
        <v>2020.6153846153857</v>
      </c>
      <c r="AO70">
        <f t="shared" si="3"/>
        <v>2020.9999999999955</v>
      </c>
      <c r="AP70" s="160">
        <f t="shared" si="39"/>
        <v>-0.53927862008596406</v>
      </c>
      <c r="AQ70" s="160">
        <f>M75</f>
        <v>-0.35266047432091674</v>
      </c>
      <c r="AW70" s="1161"/>
      <c r="AX70" s="881" t="s">
        <v>570</v>
      </c>
      <c r="AY70" s="342">
        <v>882</v>
      </c>
      <c r="AZ70" s="343">
        <f>INDEX($BK$16:$BL$19,MATCH($AX70,$BK$16:$BK$19,0),2)</f>
        <v>130</v>
      </c>
      <c r="BA70" s="344">
        <f>AY70/2*AZ70*$BS$13/10^3</f>
        <v>179.46077637162821</v>
      </c>
      <c r="BB70" s="345">
        <f>SUM(AY70)</f>
        <v>882</v>
      </c>
      <c r="BC70" s="345">
        <f>SUM(BA70)</f>
        <v>179.46077637162821</v>
      </c>
      <c r="BD70" s="1176"/>
      <c r="BE70" s="360">
        <f t="shared" si="44"/>
        <v>0.80368098159509205</v>
      </c>
      <c r="BF70" s="363"/>
      <c r="BG70" s="364">
        <f t="shared" si="41"/>
        <v>0.80368098159509205</v>
      </c>
      <c r="BH70" s="365">
        <f t="shared" si="42"/>
        <v>0.80368098159509205</v>
      </c>
      <c r="BI70" s="365">
        <f t="shared" si="43"/>
        <v>0.80368098159509205</v>
      </c>
      <c r="BO70">
        <f>BO69*3.13/1000</f>
        <v>1648.5553499999999</v>
      </c>
      <c r="BQ70">
        <f>BQ69*3.13/1000</f>
        <v>4.5421057600000001</v>
      </c>
    </row>
    <row r="71" spans="1:71" ht="14.25" x14ac:dyDescent="0.65">
      <c r="A71" s="1161"/>
      <c r="B71" s="341" t="s">
        <v>321</v>
      </c>
      <c r="C71" s="342">
        <v>15416</v>
      </c>
      <c r="D71" s="343">
        <v>3529</v>
      </c>
      <c r="E71" s="344">
        <v>36.4</v>
      </c>
      <c r="F71" s="343">
        <v>4138</v>
      </c>
      <c r="G71" s="345">
        <f>SUM(C63:C71)</f>
        <v>135702</v>
      </c>
      <c r="H71" s="345">
        <f>SUM(D63:D71)</f>
        <v>33167</v>
      </c>
      <c r="I71" s="345">
        <f>SUM(E63:E71)</f>
        <v>357.5</v>
      </c>
      <c r="J71" s="345">
        <f>SUM(F63:F71)</f>
        <v>42645</v>
      </c>
      <c r="K71" s="1163"/>
      <c r="L71" s="362">
        <f t="shared" si="30"/>
        <v>-0.51708799298311559</v>
      </c>
      <c r="M71" s="363">
        <f t="shared" si="31"/>
        <v>-0.22183020948180815</v>
      </c>
      <c r="N71" s="364">
        <f t="shared" si="32"/>
        <v>-0.3296500920810313</v>
      </c>
      <c r="O71" s="365">
        <f t="shared" si="33"/>
        <v>-0.63573943661971832</v>
      </c>
      <c r="P71" s="365">
        <f t="shared" si="34"/>
        <v>-0.51425707842645951</v>
      </c>
      <c r="Q71" s="365">
        <f t="shared" si="35"/>
        <v>-0.33939490509291531</v>
      </c>
      <c r="R71" s="365">
        <f t="shared" si="36"/>
        <v>-0.27278275020341736</v>
      </c>
      <c r="S71" s="365">
        <f t="shared" si="37"/>
        <v>-0.53863879783194313</v>
      </c>
      <c r="AL71">
        <f t="shared" si="24"/>
        <v>2020.6923076923088</v>
      </c>
      <c r="AO71">
        <f t="shared" si="3"/>
        <v>2021.0833333333287</v>
      </c>
      <c r="AP71" s="160">
        <f t="shared" si="39"/>
        <v>-0.32486290638464549</v>
      </c>
      <c r="AQ71" s="160">
        <f>M76</f>
        <v>-6.7964872088583428E-2</v>
      </c>
      <c r="AW71" s="1161"/>
      <c r="AX71" s="881" t="s">
        <v>573</v>
      </c>
      <c r="AY71" s="342">
        <v>1433</v>
      </c>
      <c r="AZ71" s="343">
        <f>INDEX($BK$16:$BL$19,MATCH($AX71,$BK$16:$BK$19,0),2)</f>
        <v>110</v>
      </c>
      <c r="BA71" s="344">
        <f>AY71/2*AZ71*$BS$13/10^3</f>
        <v>246.71552572352829</v>
      </c>
      <c r="BB71" s="345">
        <f>SUM(AY70:AY71)</f>
        <v>2315</v>
      </c>
      <c r="BC71" s="345">
        <f>SUM(BA70:BA71)</f>
        <v>426.17630209515653</v>
      </c>
      <c r="BD71" s="1176"/>
      <c r="BE71" s="360">
        <f t="shared" si="44"/>
        <v>0.46974358974358976</v>
      </c>
      <c r="BF71" s="363"/>
      <c r="BG71" s="364">
        <f t="shared" si="41"/>
        <v>0.46974358974358982</v>
      </c>
      <c r="BH71" s="365">
        <f t="shared" si="42"/>
        <v>0.58128415300546443</v>
      </c>
      <c r="BI71" s="365">
        <f t="shared" si="43"/>
        <v>0.59401709401709402</v>
      </c>
      <c r="BO71">
        <f>AY63/2*AZ63</f>
        <v>896170</v>
      </c>
    </row>
    <row r="72" spans="1:71" ht="14.25" x14ac:dyDescent="0.65">
      <c r="A72" s="1161"/>
      <c r="B72" s="341" t="s">
        <v>323</v>
      </c>
      <c r="C72" s="342">
        <v>8561</v>
      </c>
      <c r="D72" s="343">
        <v>2733</v>
      </c>
      <c r="E72" s="344">
        <v>38</v>
      </c>
      <c r="F72" s="343">
        <v>4862</v>
      </c>
      <c r="G72" s="345">
        <f>SUM(C63:C72)</f>
        <v>144263</v>
      </c>
      <c r="H72" s="345">
        <f>SUM(D63:D72)</f>
        <v>35900</v>
      </c>
      <c r="I72" s="345">
        <f>SUM(E63:E72)</f>
        <v>395.5</v>
      </c>
      <c r="J72" s="345">
        <f>SUM(F63:F72)</f>
        <v>47507</v>
      </c>
      <c r="K72" s="1163"/>
      <c r="L72" s="362">
        <f t="shared" si="30"/>
        <v>-0.70960957905091415</v>
      </c>
      <c r="M72" s="363">
        <f t="shared" si="31"/>
        <v>-0.39414763910441142</v>
      </c>
      <c r="N72" s="364">
        <f t="shared" si="32"/>
        <v>-0.29629629629629628</v>
      </c>
      <c r="O72" s="365">
        <f t="shared" si="33"/>
        <v>-0.58768656716417911</v>
      </c>
      <c r="P72" s="365">
        <f t="shared" si="34"/>
        <v>-0.53290421594879089</v>
      </c>
      <c r="Q72" s="365">
        <f t="shared" si="35"/>
        <v>-0.34390876859534342</v>
      </c>
      <c r="R72" s="365">
        <f t="shared" si="36"/>
        <v>-0.27510997067448667</v>
      </c>
      <c r="S72" s="365">
        <f t="shared" si="37"/>
        <v>-0.54418805468937392</v>
      </c>
      <c r="U72" t="s">
        <v>586</v>
      </c>
      <c r="V72">
        <v>474519</v>
      </c>
      <c r="W72">
        <v>3132</v>
      </c>
      <c r="AL72">
        <f t="shared" si="24"/>
        <v>2020.7692307692319</v>
      </c>
      <c r="AO72">
        <f t="shared" si="3"/>
        <v>2021.166666666662</v>
      </c>
      <c r="AP72" s="160">
        <f t="shared" si="39"/>
        <v>-0.24728643444298107</v>
      </c>
      <c r="AQ72" s="160">
        <f t="shared" si="40"/>
        <v>-0.20123022847100175</v>
      </c>
      <c r="AW72" s="1161"/>
      <c r="AX72" s="881" t="s">
        <v>581</v>
      </c>
      <c r="AY72" s="342">
        <f>AY71+AY70</f>
        <v>2315</v>
      </c>
      <c r="AZ72" s="343"/>
      <c r="BA72" s="344">
        <f>SUM(BA70:BA71)</f>
        <v>426.17630209515653</v>
      </c>
      <c r="BB72" s="345">
        <f>SUM(AY72)</f>
        <v>2315</v>
      </c>
      <c r="BC72" s="345">
        <f>SUM(BA72)</f>
        <v>426.17630209515653</v>
      </c>
      <c r="BD72" s="1176"/>
      <c r="BE72" s="360">
        <f t="shared" si="44"/>
        <v>0.58128415300546443</v>
      </c>
      <c r="BF72" s="363"/>
      <c r="BG72" s="364">
        <f t="shared" si="41"/>
        <v>0.59401709401709402</v>
      </c>
      <c r="BH72" s="365">
        <f t="shared" si="42"/>
        <v>0.58128415300546443</v>
      </c>
      <c r="BI72" s="365">
        <f t="shared" si="43"/>
        <v>0.59401709401709402</v>
      </c>
      <c r="BO72">
        <f>BO71*3.13/1000</f>
        <v>2805.0120999999999</v>
      </c>
    </row>
    <row r="73" spans="1:71" ht="14.25" x14ac:dyDescent="0.65">
      <c r="A73" s="1161"/>
      <c r="B73" s="341" t="s">
        <v>326</v>
      </c>
      <c r="C73" s="342">
        <v>7638</v>
      </c>
      <c r="D73" s="343">
        <v>2277</v>
      </c>
      <c r="E73" s="344">
        <v>34</v>
      </c>
      <c r="F73" s="343">
        <v>4020</v>
      </c>
      <c r="G73" s="345">
        <f>SUM(C63:C73)</f>
        <v>151901</v>
      </c>
      <c r="H73" s="345">
        <f>SUM(D63:D73)</f>
        <v>38177</v>
      </c>
      <c r="I73" s="345">
        <f>SUM(E63:E73)</f>
        <v>429.5</v>
      </c>
      <c r="J73" s="345">
        <f>SUM(F63:F73)</f>
        <v>51527</v>
      </c>
      <c r="K73" s="1163"/>
      <c r="L73" s="362">
        <f t="shared" si="30"/>
        <v>-0.70383869716944547</v>
      </c>
      <c r="M73" s="363">
        <f t="shared" si="31"/>
        <v>-0.56636831079794325</v>
      </c>
      <c r="N73" s="364">
        <f t="shared" si="32"/>
        <v>-0.32</v>
      </c>
      <c r="O73" s="365">
        <f t="shared" si="33"/>
        <v>-0.6154214101214962</v>
      </c>
      <c r="P73" s="365">
        <f t="shared" si="34"/>
        <v>-0.54607773703760154</v>
      </c>
      <c r="Q73" s="365">
        <f t="shared" si="35"/>
        <v>-0.36338775033767445</v>
      </c>
      <c r="R73" s="365">
        <f t="shared" si="36"/>
        <v>-0.27887844190732025</v>
      </c>
      <c r="S73" s="365">
        <f t="shared" si="37"/>
        <v>-0.55068103733933271</v>
      </c>
      <c r="V73">
        <v>6946</v>
      </c>
      <c r="W73">
        <v>706</v>
      </c>
      <c r="AL73">
        <f t="shared" si="24"/>
        <v>2020.8461538461549</v>
      </c>
      <c r="AO73">
        <f t="shared" si="3"/>
        <v>2021.2499999999952</v>
      </c>
      <c r="AP73" s="160">
        <f t="shared" si="39"/>
        <v>0.50326222417711308</v>
      </c>
      <c r="AQ73" s="160">
        <f t="shared" si="40"/>
        <v>0.10519377801212761</v>
      </c>
      <c r="AW73" s="1161"/>
      <c r="AX73" s="882" t="s">
        <v>570</v>
      </c>
      <c r="AY73" s="421">
        <f>AY66+AY70</f>
        <v>16929</v>
      </c>
      <c r="AZ73" s="343">
        <f>INDEX($BK$16:$BL$19,MATCH($AX73,$BK$16:$BK$19,0),2)</f>
        <v>130</v>
      </c>
      <c r="BA73" s="344">
        <f>AY73/2*AZ73*$BS$13/10^3</f>
        <v>3444.5481668880884</v>
      </c>
      <c r="BB73" s="345">
        <f>SUM(AY73)</f>
        <v>16929</v>
      </c>
      <c r="BC73" s="345">
        <f>SUM(BA73)</f>
        <v>3444.5481668880884</v>
      </c>
      <c r="BD73" s="1176"/>
      <c r="BE73" s="360">
        <f t="shared" si="44"/>
        <v>1.0892262125138839</v>
      </c>
      <c r="BF73" s="363"/>
      <c r="BG73" s="364">
        <f t="shared" si="41"/>
        <v>1.0892262125138834</v>
      </c>
      <c r="BH73" s="365">
        <f t="shared" si="42"/>
        <v>1.0892262125138839</v>
      </c>
      <c r="BI73" s="365">
        <f t="shared" si="43"/>
        <v>1.0892262125138834</v>
      </c>
    </row>
    <row r="74" spans="1:71" ht="15" thickBot="1" x14ac:dyDescent="0.8">
      <c r="A74" s="1227"/>
      <c r="B74" s="349" t="s">
        <v>327</v>
      </c>
      <c r="C74" s="350">
        <v>12313</v>
      </c>
      <c r="D74" s="351">
        <v>2384</v>
      </c>
      <c r="E74" s="352">
        <v>51</v>
      </c>
      <c r="F74" s="353">
        <v>4389</v>
      </c>
      <c r="G74" s="345">
        <f>SUM(C63:C74)</f>
        <v>164214</v>
      </c>
      <c r="H74" s="345">
        <f>SUM(D63:D74)</f>
        <v>40561</v>
      </c>
      <c r="I74" s="345">
        <f>SUM(E63:E74)</f>
        <v>480.5</v>
      </c>
      <c r="J74" s="345">
        <f>SUM(F63:F74)</f>
        <v>55916</v>
      </c>
      <c r="K74" s="1163"/>
      <c r="L74" s="366">
        <f t="shared" si="30"/>
        <v>-0.43484646807729382</v>
      </c>
      <c r="M74" s="367">
        <f t="shared" si="31"/>
        <v>-0.11342506507995537</v>
      </c>
      <c r="N74" s="368">
        <f t="shared" si="32"/>
        <v>-0.1206896551724138</v>
      </c>
      <c r="O74" s="369">
        <f t="shared" si="33"/>
        <v>-0.53682988602785986</v>
      </c>
      <c r="P74" s="369">
        <f t="shared" si="34"/>
        <v>-0.53927862008596406</v>
      </c>
      <c r="Q74" s="369">
        <f t="shared" si="35"/>
        <v>-0.35266047432091674</v>
      </c>
      <c r="R74" s="369">
        <f t="shared" si="36"/>
        <v>-0.26484088127294969</v>
      </c>
      <c r="S74" s="369">
        <f t="shared" si="37"/>
        <v>-0.54962385424553373</v>
      </c>
      <c r="AL74">
        <f t="shared" si="24"/>
        <v>2020.923076923078</v>
      </c>
      <c r="AO74">
        <f t="shared" si="3"/>
        <v>2021.3333333333285</v>
      </c>
      <c r="AP74" s="160">
        <f t="shared" ref="AP74:AP94" si="45">L79</f>
        <v>4.610868835961087</v>
      </c>
      <c r="AQ74" s="160">
        <f t="shared" ref="AQ74:AQ80" si="46">M79</f>
        <v>2.0095057034220534</v>
      </c>
      <c r="AW74" s="1161"/>
      <c r="AX74" s="882" t="s">
        <v>573</v>
      </c>
      <c r="AY74" s="421">
        <f>AY67+AY71</f>
        <v>18469</v>
      </c>
      <c r="AZ74" s="343">
        <f>INDEX($BK$16:$BL$19,MATCH($AX74,$BK$16:$BK$19,0),2)</f>
        <v>110</v>
      </c>
      <c r="BA74" s="344">
        <f>AY74/2*AZ74*$BS$13/10^3</f>
        <v>3179.7550904311543</v>
      </c>
      <c r="BB74" s="345">
        <f>SUM(AY73:AY74)</f>
        <v>35398</v>
      </c>
      <c r="BC74" s="345">
        <f>SUM(BA73:BA74)</f>
        <v>6624.3032573192431</v>
      </c>
      <c r="BD74" s="1176"/>
      <c r="BE74" s="360">
        <f t="shared" si="44"/>
        <v>0.13348471830121517</v>
      </c>
      <c r="BF74" s="363"/>
      <c r="BG74" s="364">
        <f t="shared" si="41"/>
        <v>0.13348471830121514</v>
      </c>
      <c r="BH74" s="365">
        <f t="shared" si="42"/>
        <v>0.45091609624134116</v>
      </c>
      <c r="BI74" s="365">
        <f t="shared" si="43"/>
        <v>0.48726688758244813</v>
      </c>
    </row>
    <row r="75" spans="1:71" ht="15" thickBot="1" x14ac:dyDescent="0.8">
      <c r="A75" s="354" t="s">
        <v>3</v>
      </c>
      <c r="B75" s="370">
        <v>2020</v>
      </c>
      <c r="C75" s="356">
        <f>SUM(C63:C74)</f>
        <v>164214</v>
      </c>
      <c r="D75" s="356">
        <f>SUM(D63:D74)</f>
        <v>40561</v>
      </c>
      <c r="E75" s="356">
        <f>SUM(E63:E74)</f>
        <v>480.5</v>
      </c>
      <c r="F75" s="356">
        <f>SUM(F63:F74)</f>
        <v>55916</v>
      </c>
      <c r="G75" s="357">
        <f>G67</f>
        <v>66619</v>
      </c>
      <c r="H75" s="357">
        <f>H67</f>
        <v>15275</v>
      </c>
      <c r="I75" s="357">
        <f>I67</f>
        <v>197</v>
      </c>
      <c r="J75" s="357">
        <f>J67</f>
        <v>28929</v>
      </c>
      <c r="K75" s="1164"/>
      <c r="L75" s="371">
        <f t="shared" si="30"/>
        <v>-0.53927862008596406</v>
      </c>
      <c r="M75" s="371">
        <f t="shared" si="31"/>
        <v>-0.35266047432091674</v>
      </c>
      <c r="N75" s="372">
        <f t="shared" si="32"/>
        <v>-0.26484088127294969</v>
      </c>
      <c r="O75" s="373">
        <f t="shared" si="33"/>
        <v>-0.54962385424553373</v>
      </c>
      <c r="P75" s="373">
        <f t="shared" si="34"/>
        <v>-0.51931568921727089</v>
      </c>
      <c r="Q75" s="373">
        <f t="shared" si="35"/>
        <v>-0.43381889617850922</v>
      </c>
      <c r="R75" s="373">
        <f t="shared" si="36"/>
        <v>-0.26492537313432835</v>
      </c>
      <c r="S75" s="373">
        <f t="shared" si="37"/>
        <v>-0.35352745312744421</v>
      </c>
      <c r="AL75">
        <f t="shared" si="24"/>
        <v>2021.0000000000011</v>
      </c>
      <c r="AO75">
        <f t="shared" si="3"/>
        <v>2021.4166666666617</v>
      </c>
      <c r="AP75" s="160">
        <f t="shared" si="45"/>
        <v>2.2781307916335716</v>
      </c>
      <c r="AQ75" s="160">
        <f t="shared" si="46"/>
        <v>1.0617411521570654</v>
      </c>
      <c r="AW75" s="1162"/>
      <c r="AX75" s="882" t="s">
        <v>575</v>
      </c>
      <c r="AY75" s="421">
        <f>AY68</f>
        <v>13614</v>
      </c>
      <c r="AZ75" s="399">
        <f>INDEX($BK$16:$BL$19,MATCH($AX75,$BK$16:$BK$19,0),2)</f>
        <v>3.5</v>
      </c>
      <c r="BA75" s="344">
        <f>AY75/2*AZ75*$BS$13/10^3</f>
        <v>74.578113843813995</v>
      </c>
      <c r="BB75" s="345">
        <f>SUM(AY73:AY75)</f>
        <v>49012</v>
      </c>
      <c r="BC75" s="345">
        <f>SUM(BA73:BA75)</f>
        <v>6698.8813711630573</v>
      </c>
      <c r="BD75" s="1176"/>
      <c r="BE75" s="360">
        <f t="shared" si="44"/>
        <v>-0.15775798069784708</v>
      </c>
      <c r="BF75" s="363"/>
      <c r="BG75" s="364">
        <f t="shared" si="41"/>
        <v>-0.15775798069784716</v>
      </c>
      <c r="BH75" s="365">
        <f t="shared" si="42"/>
        <v>0.20835285126106359</v>
      </c>
      <c r="BI75" s="365">
        <f t="shared" si="43"/>
        <v>0.47469355381104134</v>
      </c>
    </row>
    <row r="76" spans="1:71" ht="15" thickBot="1" x14ac:dyDescent="0.8">
      <c r="A76" s="1161">
        <v>2021</v>
      </c>
      <c r="B76" s="333" t="s">
        <v>295</v>
      </c>
      <c r="C76" s="334">
        <v>13789</v>
      </c>
      <c r="D76" s="335">
        <v>2441</v>
      </c>
      <c r="E76" s="336">
        <v>31</v>
      </c>
      <c r="F76" s="335">
        <v>3737</v>
      </c>
      <c r="G76" s="337">
        <f>C76</f>
        <v>13789</v>
      </c>
      <c r="H76" s="337">
        <f>D76</f>
        <v>2441</v>
      </c>
      <c r="I76" s="337">
        <f>E76</f>
        <v>31</v>
      </c>
      <c r="J76" s="337">
        <f>F76</f>
        <v>3737</v>
      </c>
      <c r="K76" s="1165" t="s">
        <v>381</v>
      </c>
      <c r="L76" s="360">
        <f t="shared" si="30"/>
        <v>-0.32486290638464549</v>
      </c>
      <c r="M76" s="360">
        <f t="shared" si="31"/>
        <v>-6.7964872088583428E-2</v>
      </c>
      <c r="N76" s="360">
        <f t="shared" si="32"/>
        <v>-0.27906976744186046</v>
      </c>
      <c r="O76" s="361">
        <f t="shared" si="33"/>
        <v>-0.58988147497805088</v>
      </c>
      <c r="P76" s="361">
        <f t="shared" si="34"/>
        <v>-0.32486290638464549</v>
      </c>
      <c r="Q76" s="361">
        <f t="shared" si="35"/>
        <v>-6.7964872088583428E-2</v>
      </c>
      <c r="R76" s="361">
        <f t="shared" si="36"/>
        <v>-0.27906976744186046</v>
      </c>
      <c r="S76" s="361">
        <f t="shared" si="37"/>
        <v>-0.58988147497805088</v>
      </c>
      <c r="Y76" s="213"/>
      <c r="AO76">
        <f t="shared" ref="AO76:AO94" si="47">AO75+$AO$2</f>
        <v>2021.499999999995</v>
      </c>
      <c r="AP76" s="160">
        <f>L81</f>
        <v>0.85265980135275121</v>
      </c>
      <c r="AQ76" s="160">
        <f t="shared" si="46"/>
        <v>0.20394574599260173</v>
      </c>
      <c r="AW76" s="354" t="s">
        <v>3</v>
      </c>
      <c r="AX76" s="370">
        <f>AW66</f>
        <v>2021</v>
      </c>
      <c r="AY76" s="356">
        <f>SUM(AY73:AY75)</f>
        <v>49012</v>
      </c>
      <c r="AZ76" s="356"/>
      <c r="BA76" s="356">
        <f>SUM(BA73:BA75)</f>
        <v>6698.8813711630573</v>
      </c>
      <c r="BB76" s="357">
        <f>BB75</f>
        <v>49012</v>
      </c>
      <c r="BC76" s="357">
        <f>BC75</f>
        <v>6698.8813711630573</v>
      </c>
      <c r="BD76" s="1177"/>
      <c r="BE76" s="371">
        <f t="shared" si="44"/>
        <v>0.20835285126106359</v>
      </c>
      <c r="BF76" s="371"/>
      <c r="BG76" s="372">
        <f t="shared" si="41"/>
        <v>0.47469355381104134</v>
      </c>
      <c r="BH76" s="373">
        <f t="shared" si="42"/>
        <v>0.20835285126106359</v>
      </c>
      <c r="BI76" s="373">
        <f t="shared" si="43"/>
        <v>0.47469355381104134</v>
      </c>
    </row>
    <row r="77" spans="1:71" ht="14.25" x14ac:dyDescent="0.65">
      <c r="A77" s="1161"/>
      <c r="B77" s="341" t="s">
        <v>299</v>
      </c>
      <c r="C77" s="342">
        <v>16574</v>
      </c>
      <c r="D77" s="343">
        <v>2727</v>
      </c>
      <c r="E77" s="344">
        <v>36</v>
      </c>
      <c r="F77" s="343">
        <v>3586</v>
      </c>
      <c r="G77" s="345">
        <f>SUM(C76:C77)</f>
        <v>30363</v>
      </c>
      <c r="H77" s="345">
        <f>SUM(D76:D77)</f>
        <v>5168</v>
      </c>
      <c r="I77" s="345">
        <f>SUM(E76:E77)</f>
        <v>67</v>
      </c>
      <c r="J77" s="345">
        <f>SUM(F76:F77)</f>
        <v>7323</v>
      </c>
      <c r="K77" s="1163"/>
      <c r="L77" s="362">
        <f t="shared" si="30"/>
        <v>-0.24728643444298107</v>
      </c>
      <c r="M77" s="363">
        <f t="shared" si="31"/>
        <v>-0.20123022847100175</v>
      </c>
      <c r="N77" s="364">
        <f t="shared" si="32"/>
        <v>-0.2</v>
      </c>
      <c r="O77" s="365">
        <f t="shared" si="33"/>
        <v>-0.64032096288866602</v>
      </c>
      <c r="P77" s="365">
        <f t="shared" si="34"/>
        <v>-0.28461701576231652</v>
      </c>
      <c r="Q77" s="365">
        <f t="shared" si="35"/>
        <v>-0.1433780871871374</v>
      </c>
      <c r="R77" s="365">
        <f t="shared" si="36"/>
        <v>-0.23863636363636365</v>
      </c>
      <c r="S77" s="365">
        <f t="shared" si="37"/>
        <v>-0.61623519547217276</v>
      </c>
      <c r="Y77" s="32"/>
      <c r="AO77">
        <f t="shared" si="47"/>
        <v>2021.5833333333283</v>
      </c>
      <c r="AP77" s="160">
        <f t="shared" si="45"/>
        <v>0.6864440078585462</v>
      </c>
      <c r="AQ77" s="160">
        <f>M82</f>
        <v>-0.21713286713286714</v>
      </c>
      <c r="AW77" s="1226">
        <v>2022</v>
      </c>
      <c r="AX77" s="880" t="s">
        <v>570</v>
      </c>
      <c r="AY77" s="334">
        <v>15385</v>
      </c>
      <c r="AZ77" s="335">
        <f>INDEX($BK$16:$BL$19,MATCH($AX77,$BK$16:$BK$19,0),2)</f>
        <v>130</v>
      </c>
      <c r="BA77" s="336">
        <f>AY77/2*AZ77*$BS$13/10^3</f>
        <v>3130.3900731037415</v>
      </c>
      <c r="BB77" s="337">
        <f>AY77</f>
        <v>15385</v>
      </c>
      <c r="BC77" s="337">
        <f>BA77</f>
        <v>3130.3900731037415</v>
      </c>
      <c r="BD77" s="1238" t="str">
        <f>"Milli áranna "&amp; AW66&amp;" og "&amp; AW77</f>
        <v>Milli áranna 2021 og 2022</v>
      </c>
      <c r="BE77" s="360">
        <f t="shared" ref="BE77:BE87" si="48">(AY77-AY66)/AY66</f>
        <v>-4.1253816912818597E-2</v>
      </c>
      <c r="BF77" s="360"/>
      <c r="BG77" s="360">
        <f t="shared" ref="BG77:BG87" si="49">(BA77-BA66)/BA66</f>
        <v>-4.1253816912818632E-2</v>
      </c>
      <c r="BH77" s="361">
        <f>(BB77-BB66)/BB66</f>
        <v>-4.1253816912818597E-2</v>
      </c>
      <c r="BI77" s="361">
        <f>(BC77-BC66)/BC66</f>
        <v>-4.1253816912818632E-2</v>
      </c>
      <c r="BM77">
        <f>BC76/3.13</f>
        <v>2140.2176904674307</v>
      </c>
    </row>
    <row r="78" spans="1:71" ht="14.25" x14ac:dyDescent="0.65">
      <c r="A78" s="1161"/>
      <c r="B78" s="341" t="s">
        <v>303</v>
      </c>
      <c r="C78" s="342">
        <v>20506</v>
      </c>
      <c r="D78" s="343">
        <v>4192</v>
      </c>
      <c r="E78" s="344">
        <v>36</v>
      </c>
      <c r="F78" s="343">
        <v>4334</v>
      </c>
      <c r="G78" s="345">
        <f>SUM(C76:C78)</f>
        <v>50869</v>
      </c>
      <c r="H78" s="345">
        <f>SUM(D76:D78)</f>
        <v>9360</v>
      </c>
      <c r="I78" s="345">
        <f>SUM(E76:E78)</f>
        <v>103</v>
      </c>
      <c r="J78" s="345">
        <f>SUM(F76:F78)</f>
        <v>11657</v>
      </c>
      <c r="K78" s="1163"/>
      <c r="L78" s="362">
        <f t="shared" si="30"/>
        <v>0.50326222417711308</v>
      </c>
      <c r="M78" s="363">
        <f t="shared" si="31"/>
        <v>0.10519377801212761</v>
      </c>
      <c r="N78" s="364">
        <f t="shared" si="32"/>
        <v>-0.14285714285714285</v>
      </c>
      <c r="O78" s="365">
        <f t="shared" si="33"/>
        <v>-0.36628162011990056</v>
      </c>
      <c r="P78" s="365">
        <f t="shared" si="34"/>
        <v>-9.2985521717423858E-2</v>
      </c>
      <c r="Q78" s="365">
        <f t="shared" si="35"/>
        <v>-4.7425198453083656E-2</v>
      </c>
      <c r="R78" s="365">
        <f t="shared" si="36"/>
        <v>-0.2076923076923077</v>
      </c>
      <c r="S78" s="365">
        <f t="shared" si="37"/>
        <v>-0.55028741175108986</v>
      </c>
      <c r="V78" s="374" t="s">
        <v>558</v>
      </c>
      <c r="W78" s="213"/>
      <c r="X78" s="213"/>
      <c r="Y78" s="32"/>
      <c r="AO78">
        <f t="shared" si="47"/>
        <v>2021.6666666666615</v>
      </c>
      <c r="AP78" s="160">
        <f t="shared" si="45"/>
        <v>0.94483901515151514</v>
      </c>
      <c r="AQ78" s="160">
        <f t="shared" si="46"/>
        <v>5.2964254577157803E-2</v>
      </c>
      <c r="AW78" s="1161"/>
      <c r="AX78" s="881" t="s">
        <v>573</v>
      </c>
      <c r="AY78" s="342">
        <v>12461</v>
      </c>
      <c r="AZ78" s="343">
        <f>INDEX($BK$16:$BL$19,MATCH($AX78,$BK$16:$BK$19,0),2)</f>
        <v>110</v>
      </c>
      <c r="BA78" s="344">
        <f>AY78/2*AZ78*$BS$13/10^3</f>
        <v>2145.3748541806599</v>
      </c>
      <c r="BB78" s="345">
        <f>SUM(AY77:AY78)</f>
        <v>27846</v>
      </c>
      <c r="BC78" s="345">
        <f>SUM(BA77:BA78)</f>
        <v>5275.764927284401</v>
      </c>
      <c r="BD78" s="1176"/>
      <c r="BE78" s="360">
        <f t="shared" si="48"/>
        <v>-0.26854895515379196</v>
      </c>
      <c r="BF78" s="363"/>
      <c r="BG78" s="364">
        <f>(BA78-BA67)/BA67</f>
        <v>-0.26854895515379212</v>
      </c>
      <c r="BH78" s="365">
        <f t="shared" ref="BH78:BH87" si="50">(BB78-BB67)/BB67</f>
        <v>-0.15829882416951305</v>
      </c>
      <c r="BI78" s="365">
        <f t="shared" ref="BI78:BI87" si="51">(BC78-BC67)/BC67</f>
        <v>-0.14881302603236829</v>
      </c>
    </row>
    <row r="79" spans="1:71" ht="14.25" x14ac:dyDescent="0.65">
      <c r="A79" s="1161"/>
      <c r="B79" s="341" t="s">
        <v>306</v>
      </c>
      <c r="C79" s="342">
        <v>16726</v>
      </c>
      <c r="D79" s="343">
        <v>4749</v>
      </c>
      <c r="E79" s="344">
        <v>41.2</v>
      </c>
      <c r="F79" s="343">
        <v>4571</v>
      </c>
      <c r="G79" s="345">
        <f>SUM(C76:C79)</f>
        <v>67595</v>
      </c>
      <c r="H79" s="345">
        <f>SUM(D76:D79)</f>
        <v>14109</v>
      </c>
      <c r="I79" s="345">
        <f>SUM(E76:E79)</f>
        <v>144.19999999999999</v>
      </c>
      <c r="J79" s="345">
        <f>SUM(F76:F79)</f>
        <v>16228</v>
      </c>
      <c r="K79" s="1163"/>
      <c r="L79" s="362">
        <f t="shared" si="30"/>
        <v>4.610868835961087</v>
      </c>
      <c r="M79" s="363">
        <f t="shared" si="31"/>
        <v>2.0095057034220534</v>
      </c>
      <c r="N79" s="364">
        <f t="shared" si="32"/>
        <v>0.36423841059602663</v>
      </c>
      <c r="O79" s="365">
        <f t="shared" si="33"/>
        <v>2.5297297297297296</v>
      </c>
      <c r="P79" s="365">
        <f t="shared" si="34"/>
        <v>0.14441716752730044</v>
      </c>
      <c r="Q79" s="365">
        <f t="shared" si="35"/>
        <v>0.23719747457032619</v>
      </c>
      <c r="R79" s="365">
        <f t="shared" si="36"/>
        <v>-9.9875156054931344E-2</v>
      </c>
      <c r="S79" s="365">
        <f t="shared" si="37"/>
        <v>-0.4037330981775426</v>
      </c>
      <c r="U79">
        <v>2016</v>
      </c>
      <c r="V79" s="32">
        <f t="shared" ref="V79:V85" si="52">INDEX($C$9:$F$101,MATCH($U79,$B$9:$B$101,0),MATCH(V$78,$C$9:$F$9,0))</f>
        <v>63732</v>
      </c>
      <c r="W79" s="32"/>
      <c r="X79" s="32"/>
      <c r="Y79" s="32"/>
      <c r="AO79">
        <f t="shared" si="47"/>
        <v>2021.7499999999948</v>
      </c>
      <c r="AP79" s="160">
        <f t="shared" si="45"/>
        <v>0.84451219512195119</v>
      </c>
      <c r="AQ79" s="160">
        <f t="shared" si="46"/>
        <v>9.3794275998866528E-2</v>
      </c>
      <c r="AW79" s="1161"/>
      <c r="AX79" s="881" t="s">
        <v>575</v>
      </c>
      <c r="AY79" s="342">
        <v>11658</v>
      </c>
      <c r="AZ79" s="399">
        <f>INDEX($BK$16:$BL$19,MATCH($AX79,$BK$16:$BK$19,0),2)</f>
        <v>3.5</v>
      </c>
      <c r="BA79" s="344">
        <f>AY79/2*AZ79*$BS$13/10^3</f>
        <v>63.863056500013478</v>
      </c>
      <c r="BB79" s="345">
        <f>SUM(AY77:AY79)</f>
        <v>39504</v>
      </c>
      <c r="BC79" s="345">
        <f>SUM(BA77:BA79)</f>
        <v>5339.627983784414</v>
      </c>
      <c r="BD79" s="1176"/>
      <c r="BE79" s="360">
        <f t="shared" si="48"/>
        <v>-0.14367562802996914</v>
      </c>
      <c r="BF79" s="363"/>
      <c r="BG79" s="364">
        <f t="shared" si="49"/>
        <v>-0.14367562802996922</v>
      </c>
      <c r="BH79" s="365">
        <f t="shared" si="50"/>
        <v>-0.15403559115146584</v>
      </c>
      <c r="BI79" s="365">
        <f t="shared" si="51"/>
        <v>-0.14875194593233734</v>
      </c>
    </row>
    <row r="80" spans="1:71" ht="14.25" x14ac:dyDescent="0.65">
      <c r="A80" s="1161"/>
      <c r="B80" s="341" t="s">
        <v>310</v>
      </c>
      <c r="C80" s="342">
        <v>24763</v>
      </c>
      <c r="D80" s="343">
        <v>7981</v>
      </c>
      <c r="E80" s="344">
        <v>48.5</v>
      </c>
      <c r="F80" s="343">
        <v>4788</v>
      </c>
      <c r="G80" s="345">
        <f>SUM(C76:C80)</f>
        <v>92358</v>
      </c>
      <c r="H80" s="345">
        <f>SUM(D76:D80)</f>
        <v>22090</v>
      </c>
      <c r="I80" s="345">
        <f>SUM(E76:E80)</f>
        <v>192.7</v>
      </c>
      <c r="J80" s="345">
        <f>SUM(F76:F80)</f>
        <v>21016</v>
      </c>
      <c r="K80" s="1163"/>
      <c r="L80" s="362">
        <f t="shared" si="30"/>
        <v>2.2781307916335716</v>
      </c>
      <c r="M80" s="363">
        <f t="shared" si="31"/>
        <v>1.0617411521570654</v>
      </c>
      <c r="N80" s="364">
        <f t="shared" si="32"/>
        <v>0.31793478260869573</v>
      </c>
      <c r="O80" s="365">
        <f t="shared" si="33"/>
        <v>1.7950963222416814</v>
      </c>
      <c r="P80" s="365">
        <f t="shared" si="34"/>
        <v>0.38636124829252916</v>
      </c>
      <c r="Q80" s="365">
        <f t="shared" si="35"/>
        <v>0.44615384615384618</v>
      </c>
      <c r="R80" s="365">
        <f t="shared" si="36"/>
        <v>-2.1827411167512748E-2</v>
      </c>
      <c r="S80" s="365">
        <f t="shared" si="37"/>
        <v>-0.27353175014691139</v>
      </c>
      <c r="U80">
        <v>2017</v>
      </c>
      <c r="V80" s="32">
        <f t="shared" si="52"/>
        <v>64656</v>
      </c>
      <c r="W80" s="32"/>
      <c r="X80" s="32"/>
      <c r="Y80" s="32"/>
      <c r="AO80">
        <f t="shared" si="47"/>
        <v>2021.833333333328</v>
      </c>
      <c r="AP80" s="160">
        <f t="shared" si="45"/>
        <v>2.7363625744655997</v>
      </c>
      <c r="AQ80" s="160">
        <f t="shared" si="46"/>
        <v>0.70106110501280638</v>
      </c>
      <c r="AW80" s="1161"/>
      <c r="AX80" s="881" t="s">
        <v>577</v>
      </c>
      <c r="AY80" s="342">
        <f>SUM(AY77:AY79)</f>
        <v>39504</v>
      </c>
      <c r="AZ80" s="343"/>
      <c r="BA80" s="344">
        <f>SUM(BA77:BA79)</f>
        <v>5339.627983784414</v>
      </c>
      <c r="BB80" s="345">
        <f>SUM(AY77:AY79)</f>
        <v>39504</v>
      </c>
      <c r="BC80" s="345">
        <f>SUM(BA77:BA79)</f>
        <v>5339.627983784414</v>
      </c>
      <c r="BD80" s="1176"/>
      <c r="BE80" s="360">
        <f>(AY80-AY69)/AY69</f>
        <v>-0.15403559115146584</v>
      </c>
      <c r="BF80" s="363"/>
      <c r="BG80" s="364">
        <f t="shared" si="49"/>
        <v>-0.14875194593233734</v>
      </c>
      <c r="BH80" s="365">
        <f t="shared" si="50"/>
        <v>-0.15403559115146584</v>
      </c>
      <c r="BI80" s="365">
        <f t="shared" si="51"/>
        <v>-0.14875194593233734</v>
      </c>
    </row>
    <row r="81" spans="1:61" ht="14.25" x14ac:dyDescent="0.65">
      <c r="A81" s="1161"/>
      <c r="B81" s="341" t="s">
        <v>314</v>
      </c>
      <c r="C81" s="342">
        <v>30404</v>
      </c>
      <c r="D81" s="343">
        <v>4882</v>
      </c>
      <c r="E81" s="344">
        <v>57.7</v>
      </c>
      <c r="F81" s="343">
        <v>5526</v>
      </c>
      <c r="G81" s="345">
        <f>SUM(C76:C81)</f>
        <v>122762</v>
      </c>
      <c r="H81" s="345">
        <f>SUM(D76:D81)</f>
        <v>26972</v>
      </c>
      <c r="I81" s="345">
        <f>SUM(E76:E81)</f>
        <v>250.39999999999998</v>
      </c>
      <c r="J81" s="345">
        <f>SUM(F76:F81)</f>
        <v>26542</v>
      </c>
      <c r="K81" s="1163"/>
      <c r="L81" s="362">
        <f t="shared" si="30"/>
        <v>0.85265980135275121</v>
      </c>
      <c r="M81" s="363">
        <f t="shared" si="31"/>
        <v>0.20394574599260173</v>
      </c>
      <c r="N81" s="364">
        <f t="shared" si="32"/>
        <v>0.44250000000000006</v>
      </c>
      <c r="O81" s="365">
        <f t="shared" si="33"/>
        <v>1.1229350749135614</v>
      </c>
      <c r="P81" s="365">
        <f t="shared" si="34"/>
        <v>0.47852583403589066</v>
      </c>
      <c r="Q81" s="365">
        <f t="shared" si="35"/>
        <v>0.39534402483186759</v>
      </c>
      <c r="R81" s="365">
        <f t="shared" si="36"/>
        <v>5.6540084388185557E-2</v>
      </c>
      <c r="S81" s="365">
        <f t="shared" si="37"/>
        <v>-0.1582519345426868</v>
      </c>
      <c r="U81">
        <v>2018</v>
      </c>
      <c r="V81" s="32">
        <f t="shared" si="52"/>
        <v>61220</v>
      </c>
      <c r="W81" s="32"/>
      <c r="X81" s="32"/>
      <c r="Y81" s="32"/>
      <c r="AO81">
        <f t="shared" si="47"/>
        <v>2021.9166666666613</v>
      </c>
      <c r="AP81" s="160">
        <f t="shared" si="45"/>
        <v>2.0759361089290391</v>
      </c>
      <c r="AQ81" s="160">
        <f>M86</f>
        <v>0.35265700483091789</v>
      </c>
      <c r="AW81" s="1161"/>
      <c r="AX81" s="881" t="s">
        <v>570</v>
      </c>
      <c r="AY81" s="342">
        <v>1179</v>
      </c>
      <c r="AZ81" s="343">
        <f>INDEX($BK$16:$BL$19,MATCH($AX81,$BK$16:$BK$19,0),2)</f>
        <v>130</v>
      </c>
      <c r="BA81" s="344">
        <f>AY81/2*AZ81*$BS$13/10^3</f>
        <v>239.89144596615608</v>
      </c>
      <c r="BB81" s="345">
        <f>SUM(AY81)</f>
        <v>1179</v>
      </c>
      <c r="BC81" s="345">
        <f>SUM(BA81)</f>
        <v>239.89144596615608</v>
      </c>
      <c r="BD81" s="1176"/>
      <c r="BE81" s="360">
        <f t="shared" si="48"/>
        <v>0.33673469387755101</v>
      </c>
      <c r="BF81" s="363"/>
      <c r="BG81" s="364">
        <f t="shared" si="49"/>
        <v>0.33673469387755106</v>
      </c>
      <c r="BH81" s="365">
        <f t="shared" si="50"/>
        <v>0.33673469387755101</v>
      </c>
      <c r="BI81" s="365">
        <f>(BC81-BC70)/BC70</f>
        <v>0.33673469387755106</v>
      </c>
    </row>
    <row r="82" spans="1:61" ht="14.25" x14ac:dyDescent="0.65">
      <c r="A82" s="1161"/>
      <c r="B82" s="341" t="s">
        <v>316</v>
      </c>
      <c r="C82" s="342">
        <v>34336</v>
      </c>
      <c r="D82" s="343">
        <v>4478</v>
      </c>
      <c r="E82" s="344">
        <v>67.900000000000006</v>
      </c>
      <c r="F82" s="343">
        <v>6279</v>
      </c>
      <c r="G82" s="345">
        <f>SUM(C76:C82)</f>
        <v>157098</v>
      </c>
      <c r="H82" s="345">
        <f>SUM(D76:D82)</f>
        <v>31450</v>
      </c>
      <c r="I82" s="345">
        <f>SUM(E76:E82)</f>
        <v>318.29999999999995</v>
      </c>
      <c r="J82" s="345">
        <f>SUM(F76:F82)</f>
        <v>32821</v>
      </c>
      <c r="K82" s="1163"/>
      <c r="L82" s="362">
        <f t="shared" si="30"/>
        <v>0.6864440078585462</v>
      </c>
      <c r="M82" s="363">
        <f t="shared" si="31"/>
        <v>-0.21713286713286714</v>
      </c>
      <c r="N82" s="364">
        <f t="shared" si="32"/>
        <v>0.55022831050228338</v>
      </c>
      <c r="O82" s="365">
        <f t="shared" si="33"/>
        <v>0.94939459795094694</v>
      </c>
      <c r="P82" s="365">
        <f t="shared" si="34"/>
        <v>0.51946996808201951</v>
      </c>
      <c r="Q82" s="365">
        <f t="shared" si="35"/>
        <v>0.2554890219560878</v>
      </c>
      <c r="R82" s="365">
        <f t="shared" si="36"/>
        <v>0.13354700854700835</v>
      </c>
      <c r="S82" s="365">
        <f t="shared" si="37"/>
        <v>-5.559232296492389E-2</v>
      </c>
      <c r="U82">
        <v>2019</v>
      </c>
      <c r="V82" s="32">
        <f t="shared" si="52"/>
        <v>62658</v>
      </c>
      <c r="W82" s="32"/>
      <c r="X82" s="32"/>
      <c r="Y82" s="32"/>
      <c r="AO82">
        <f t="shared" si="47"/>
        <v>2021.9999999999945</v>
      </c>
      <c r="AP82" s="160">
        <f t="shared" si="45"/>
        <v>0.86290912044180945</v>
      </c>
      <c r="AQ82" s="160">
        <f>M88</f>
        <v>0.24789822736125836</v>
      </c>
      <c r="AW82" s="1161"/>
      <c r="AX82" s="881" t="s">
        <v>573</v>
      </c>
      <c r="AY82" s="342">
        <v>2089</v>
      </c>
      <c r="AZ82" s="343">
        <f>INDEX($BK$16:$BL$19,MATCH($AX82,$BK$16:$BK$19,0),2)</f>
        <v>110</v>
      </c>
      <c r="BA82" s="344">
        <f>AY82/2*AZ82*$BS$13/10^3</f>
        <v>359.65717601985392</v>
      </c>
      <c r="BB82" s="345">
        <f>SUM(AY81:AY82)</f>
        <v>3268</v>
      </c>
      <c r="BC82" s="345">
        <f>SUM(BA81:BA82)</f>
        <v>599.54862198600995</v>
      </c>
      <c r="BD82" s="1176"/>
      <c r="BE82" s="360">
        <f>(AY82-AY71)/AY71</f>
        <v>0.45778087927424982</v>
      </c>
      <c r="BF82" s="363"/>
      <c r="BG82" s="364">
        <f t="shared" si="49"/>
        <v>0.45778087927425004</v>
      </c>
      <c r="BH82" s="365">
        <f t="shared" si="50"/>
        <v>0.41166306695464361</v>
      </c>
      <c r="BI82" s="365">
        <f t="shared" si="51"/>
        <v>0.40680891696353144</v>
      </c>
    </row>
    <row r="83" spans="1:61" ht="14.25" x14ac:dyDescent="0.65">
      <c r="A83" s="1161"/>
      <c r="B83" s="341" t="s">
        <v>319</v>
      </c>
      <c r="C83" s="342">
        <v>32860</v>
      </c>
      <c r="D83" s="343">
        <v>4831</v>
      </c>
      <c r="E83" s="344">
        <v>36.5</v>
      </c>
      <c r="F83" s="343">
        <v>6600</v>
      </c>
      <c r="G83" s="345">
        <f>SUM(C76:C83)</f>
        <v>189958</v>
      </c>
      <c r="H83" s="345">
        <f>SUM(D76:D83)</f>
        <v>36281</v>
      </c>
      <c r="I83" s="345">
        <f>SUM(E76:E83)</f>
        <v>354.79999999999995</v>
      </c>
      <c r="J83" s="345">
        <f>SUM(F76:F83)</f>
        <v>39421</v>
      </c>
      <c r="K83" s="1163"/>
      <c r="L83" s="362">
        <f t="shared" si="30"/>
        <v>0.94483901515151514</v>
      </c>
      <c r="M83" s="363">
        <f t="shared" si="31"/>
        <v>5.2964254577157803E-2</v>
      </c>
      <c r="N83" s="364">
        <f t="shared" si="32"/>
        <v>-9.4292803970223257E-2</v>
      </c>
      <c r="O83" s="365">
        <f t="shared" si="33"/>
        <v>0.75812466702184333</v>
      </c>
      <c r="P83" s="365">
        <f t="shared" si="34"/>
        <v>0.57921952679447319</v>
      </c>
      <c r="Q83" s="365">
        <f t="shared" si="35"/>
        <v>0.22413793103448276</v>
      </c>
      <c r="R83" s="365">
        <f t="shared" si="36"/>
        <v>0.10495172843350958</v>
      </c>
      <c r="S83" s="365">
        <f t="shared" si="37"/>
        <v>2.3735944114057186E-2</v>
      </c>
      <c r="U83">
        <v>2020</v>
      </c>
      <c r="V83" s="32">
        <f t="shared" si="52"/>
        <v>40561</v>
      </c>
      <c r="W83" s="32"/>
      <c r="X83" s="32"/>
      <c r="AO83">
        <f t="shared" si="47"/>
        <v>2022.0833333333278</v>
      </c>
      <c r="AP83" s="160">
        <f t="shared" si="45"/>
        <v>0.80747073940102554</v>
      </c>
      <c r="AQ83" s="160">
        <f t="shared" ref="AQ83:AQ93" si="53">M89</f>
        <v>-0.24252355591970504</v>
      </c>
      <c r="AW83" s="1161"/>
      <c r="AX83" s="881" t="s">
        <v>581</v>
      </c>
      <c r="AY83" s="342">
        <f>AY82+AY81</f>
        <v>3268</v>
      </c>
      <c r="AZ83" s="343"/>
      <c r="BA83" s="344">
        <f>SUM(BA81:BA82)</f>
        <v>599.54862198600995</v>
      </c>
      <c r="BB83" s="345">
        <f>SUM(AY83)</f>
        <v>3268</v>
      </c>
      <c r="BC83" s="345">
        <f>SUM(BA83)</f>
        <v>599.54862198600995</v>
      </c>
      <c r="BD83" s="1176"/>
      <c r="BE83" s="360">
        <f t="shared" si="48"/>
        <v>0.41166306695464361</v>
      </c>
      <c r="BF83" s="363"/>
      <c r="BG83" s="364">
        <f t="shared" si="49"/>
        <v>0.40680891696353144</v>
      </c>
      <c r="BH83" s="365">
        <f t="shared" si="50"/>
        <v>0.41166306695464361</v>
      </c>
      <c r="BI83" s="365">
        <f t="shared" si="51"/>
        <v>0.40680891696353144</v>
      </c>
    </row>
    <row r="84" spans="1:61" ht="14.25" x14ac:dyDescent="0.65">
      <c r="A84" s="1161"/>
      <c r="B84" s="341" t="s">
        <v>321</v>
      </c>
      <c r="C84" s="342">
        <v>28435</v>
      </c>
      <c r="D84" s="343">
        <v>3860</v>
      </c>
      <c r="E84" s="344">
        <v>52.3</v>
      </c>
      <c r="F84" s="343">
        <v>7497</v>
      </c>
      <c r="G84" s="345">
        <f>SUM(C76:C84)</f>
        <v>218393</v>
      </c>
      <c r="H84" s="345">
        <f>SUM(D76:D84)</f>
        <v>40141</v>
      </c>
      <c r="I84" s="345">
        <f>SUM(E76:E84)</f>
        <v>407.09999999999997</v>
      </c>
      <c r="J84" s="345">
        <f>SUM(F76:F84)</f>
        <v>46918</v>
      </c>
      <c r="K84" s="1163"/>
      <c r="L84" s="362">
        <f t="shared" si="30"/>
        <v>0.84451219512195119</v>
      </c>
      <c r="M84" s="363">
        <f t="shared" si="31"/>
        <v>9.3794275998866528E-2</v>
      </c>
      <c r="N84" s="364">
        <f t="shared" si="32"/>
        <v>0.43681318681318682</v>
      </c>
      <c r="O84" s="365">
        <f t="shared" si="33"/>
        <v>0.81174480425326245</v>
      </c>
      <c r="P84" s="365">
        <f t="shared" si="34"/>
        <v>0.60935726813164137</v>
      </c>
      <c r="Q84" s="365">
        <f t="shared" si="35"/>
        <v>0.21026924352519069</v>
      </c>
      <c r="R84" s="365">
        <f t="shared" si="36"/>
        <v>0.13874125874125864</v>
      </c>
      <c r="S84" s="365">
        <f t="shared" si="37"/>
        <v>0.10019931996717082</v>
      </c>
      <c r="U84">
        <v>2021</v>
      </c>
      <c r="V84" s="32">
        <f t="shared" si="52"/>
        <v>50616</v>
      </c>
      <c r="W84" s="32"/>
      <c r="X84" s="32"/>
      <c r="AO84">
        <f t="shared" si="47"/>
        <v>2022.1666666666611</v>
      </c>
      <c r="AP84" s="160">
        <f t="shared" si="45"/>
        <v>7.2158967292769605E-2</v>
      </c>
      <c r="AQ84" s="160">
        <f t="shared" si="53"/>
        <v>-7.4807480748074806E-2</v>
      </c>
      <c r="AW84" s="1161"/>
      <c r="AX84" s="882" t="s">
        <v>570</v>
      </c>
      <c r="AY84" s="421">
        <f>AY77+AY81</f>
        <v>16564</v>
      </c>
      <c r="AZ84" s="343">
        <f>INDEX($BK$16:$BL$19,MATCH($AX84,$BK$16:$BK$19,0),2)</f>
        <v>130</v>
      </c>
      <c r="BA84" s="344">
        <f>AY84/2*AZ84*$BS$13/10^3</f>
        <v>3370.2815190698975</v>
      </c>
      <c r="BB84" s="345">
        <f>SUM(AY84)</f>
        <v>16564</v>
      </c>
      <c r="BC84" s="345">
        <f>SUM(BA84)</f>
        <v>3370.2815190698975</v>
      </c>
      <c r="BD84" s="1176"/>
      <c r="BE84" s="360">
        <f t="shared" si="48"/>
        <v>-2.1560635595723316E-2</v>
      </c>
      <c r="BF84" s="363"/>
      <c r="BG84" s="364">
        <f t="shared" si="49"/>
        <v>-2.156063559572334E-2</v>
      </c>
      <c r="BH84" s="365">
        <f t="shared" si="50"/>
        <v>-2.1560635595723316E-2</v>
      </c>
      <c r="BI84" s="365">
        <f>(BC84-BC73)/BC73</f>
        <v>-2.156063559572334E-2</v>
      </c>
    </row>
    <row r="85" spans="1:61" ht="14.25" x14ac:dyDescent="0.65">
      <c r="A85" s="1161"/>
      <c r="B85" s="341" t="s">
        <v>323</v>
      </c>
      <c r="C85" s="342">
        <v>31987</v>
      </c>
      <c r="D85" s="343">
        <v>4649</v>
      </c>
      <c r="E85" s="344">
        <v>56.6</v>
      </c>
      <c r="F85" s="343">
        <v>7466</v>
      </c>
      <c r="G85" s="345">
        <f>SUM(C76:C85)</f>
        <v>250380</v>
      </c>
      <c r="H85" s="345">
        <f>SUM(D76:D85)</f>
        <v>44790</v>
      </c>
      <c r="I85" s="345">
        <f>SUM(E76:E85)</f>
        <v>463.7</v>
      </c>
      <c r="J85" s="345">
        <f>SUM(F76:F85)</f>
        <v>54384</v>
      </c>
      <c r="K85" s="1163"/>
      <c r="L85" s="362">
        <f t="shared" si="30"/>
        <v>2.7363625744655997</v>
      </c>
      <c r="M85" s="363">
        <f t="shared" si="31"/>
        <v>0.70106110501280638</v>
      </c>
      <c r="N85" s="364">
        <f t="shared" si="32"/>
        <v>0.48947368421052634</v>
      </c>
      <c r="O85" s="365">
        <f t="shared" si="33"/>
        <v>0.53558206499382965</v>
      </c>
      <c r="P85" s="365">
        <f t="shared" si="34"/>
        <v>0.7355801556878756</v>
      </c>
      <c r="Q85" s="365">
        <f t="shared" si="35"/>
        <v>0.24763231197771587</v>
      </c>
      <c r="R85" s="365">
        <f t="shared" si="36"/>
        <v>0.17243994943109983</v>
      </c>
      <c r="S85" s="365">
        <f t="shared" si="37"/>
        <v>0.14475761466731218</v>
      </c>
      <c r="U85">
        <v>2022</v>
      </c>
      <c r="V85" s="32">
        <f t="shared" si="52"/>
        <v>42731</v>
      </c>
      <c r="AO85">
        <f t="shared" si="47"/>
        <v>2022.2499999999943</v>
      </c>
      <c r="AP85" s="160">
        <f t="shared" si="45"/>
        <v>0.16574152286714131</v>
      </c>
      <c r="AQ85" s="160">
        <f t="shared" si="53"/>
        <v>-0.44036259541984735</v>
      </c>
      <c r="AW85" s="1161"/>
      <c r="AX85" s="882" t="s">
        <v>573</v>
      </c>
      <c r="AY85" s="421">
        <f>AY78+AY82</f>
        <v>14550</v>
      </c>
      <c r="AZ85" s="343">
        <f>INDEX($BK$16:$BL$19,MATCH($AX85,$BK$16:$BK$19,0),2)</f>
        <v>110</v>
      </c>
      <c r="BA85" s="344">
        <f>AY85/2*AZ85*$BS$13/10^3</f>
        <v>2505.0320302005139</v>
      </c>
      <c r="BB85" s="345">
        <f>SUM(AY84:AY85)</f>
        <v>31114</v>
      </c>
      <c r="BC85" s="345">
        <f>SUM(BA84:BA85)</f>
        <v>5875.3135492704114</v>
      </c>
      <c r="BD85" s="1176"/>
      <c r="BE85" s="360">
        <f t="shared" si="48"/>
        <v>-0.21219340516541232</v>
      </c>
      <c r="BF85" s="363"/>
      <c r="BG85" s="364">
        <f t="shared" si="49"/>
        <v>-0.21219340516541238</v>
      </c>
      <c r="BH85" s="365">
        <f t="shared" si="50"/>
        <v>-0.12102378665461326</v>
      </c>
      <c r="BI85" s="365">
        <f t="shared" si="51"/>
        <v>-0.11306694137549746</v>
      </c>
    </row>
    <row r="86" spans="1:61" ht="15" thickBot="1" x14ac:dyDescent="0.8">
      <c r="A86" s="1161"/>
      <c r="B86" s="341" t="s">
        <v>326</v>
      </c>
      <c r="C86" s="342">
        <v>23494</v>
      </c>
      <c r="D86" s="343">
        <v>3080</v>
      </c>
      <c r="E86" s="344">
        <v>45.1</v>
      </c>
      <c r="F86" s="343">
        <v>7086</v>
      </c>
      <c r="G86" s="345">
        <f>SUM(C76:C86)</f>
        <v>273874</v>
      </c>
      <c r="H86" s="345">
        <f>SUM(D76:D86)</f>
        <v>47870</v>
      </c>
      <c r="I86" s="345">
        <f>SUM(E76:E86)</f>
        <v>508.8</v>
      </c>
      <c r="J86" s="345">
        <f>SUM(F76:F86)</f>
        <v>61470</v>
      </c>
      <c r="K86" s="1163"/>
      <c r="L86" s="362">
        <f t="shared" si="30"/>
        <v>2.0759361089290391</v>
      </c>
      <c r="M86" s="363">
        <f t="shared" si="31"/>
        <v>0.35265700483091789</v>
      </c>
      <c r="N86" s="364">
        <f t="shared" si="32"/>
        <v>0.32647058823529418</v>
      </c>
      <c r="O86" s="365">
        <f t="shared" si="33"/>
        <v>0.76268656716417915</v>
      </c>
      <c r="P86" s="365">
        <f t="shared" si="34"/>
        <v>0.80297693892732769</v>
      </c>
      <c r="Q86" s="365">
        <f t="shared" si="35"/>
        <v>0.25389632501244203</v>
      </c>
      <c r="R86" s="365">
        <f t="shared" si="36"/>
        <v>0.18463329452852156</v>
      </c>
      <c r="S86" s="365">
        <f t="shared" si="37"/>
        <v>0.1929667941079434</v>
      </c>
      <c r="AO86">
        <f t="shared" si="47"/>
        <v>2022.3333333333276</v>
      </c>
      <c r="AP86" s="160">
        <f t="shared" si="45"/>
        <v>0.33302448063981271</v>
      </c>
      <c r="AQ86" s="160">
        <f t="shared" si="53"/>
        <v>-0.24552537376289746</v>
      </c>
      <c r="AW86" s="1162"/>
      <c r="AX86" s="882" t="s">
        <v>575</v>
      </c>
      <c r="AY86" s="421">
        <f>AY79</f>
        <v>11658</v>
      </c>
      <c r="AZ86" s="399">
        <f>INDEX($BK$16:$BL$19,MATCH($AX86,$BK$16:$BK$19,0),2)</f>
        <v>3.5</v>
      </c>
      <c r="BA86" s="344">
        <f>AY86/2*AZ86*$BS$13/10^3</f>
        <v>63.863056500013478</v>
      </c>
      <c r="BB86" s="345">
        <f>SUM(AY84:AY86)</f>
        <v>42772</v>
      </c>
      <c r="BC86" s="345">
        <f>SUM(BA84:BA86)</f>
        <v>5939.1766057704244</v>
      </c>
      <c r="BD86" s="1176"/>
      <c r="BE86" s="360">
        <f t="shared" si="48"/>
        <v>-0.14367562802996914</v>
      </c>
      <c r="BF86" s="363"/>
      <c r="BG86" s="364">
        <f t="shared" si="49"/>
        <v>-0.14367562802996922</v>
      </c>
      <c r="BH86" s="365">
        <f t="shared" si="50"/>
        <v>-0.12731575940585979</v>
      </c>
      <c r="BI86" s="365">
        <f t="shared" si="51"/>
        <v>-0.11340770545108686</v>
      </c>
    </row>
    <row r="87" spans="1:61" ht="15" thickBot="1" x14ac:dyDescent="0.8">
      <c r="A87" s="1227"/>
      <c r="B87" s="349" t="s">
        <v>327</v>
      </c>
      <c r="C87" s="350">
        <v>22938</v>
      </c>
      <c r="D87" s="351">
        <v>2746</v>
      </c>
      <c r="E87" s="352">
        <v>74</v>
      </c>
      <c r="F87" s="353">
        <v>7745</v>
      </c>
      <c r="G87" s="345">
        <f>SUM(C76:C87)</f>
        <v>296812</v>
      </c>
      <c r="H87" s="345">
        <f>SUM(D76:D87)</f>
        <v>50616</v>
      </c>
      <c r="I87" s="345">
        <f>SUM(E76:E87)</f>
        <v>582.79999999999995</v>
      </c>
      <c r="J87" s="345">
        <f>SUM(F76:F87)</f>
        <v>69215</v>
      </c>
      <c r="K87" s="1163"/>
      <c r="L87" s="366">
        <f t="shared" si="30"/>
        <v>0.86290912044180945</v>
      </c>
      <c r="M87" s="367">
        <f t="shared" si="31"/>
        <v>0.15184563758389261</v>
      </c>
      <c r="N87" s="368">
        <f t="shared" si="32"/>
        <v>0.45098039215686275</v>
      </c>
      <c r="O87" s="369">
        <f t="shared" si="33"/>
        <v>0.76463886990202778</v>
      </c>
      <c r="P87" s="369">
        <f t="shared" si="34"/>
        <v>0.80747073940102554</v>
      </c>
      <c r="Q87" s="369">
        <f t="shared" si="35"/>
        <v>0.24789822736125836</v>
      </c>
      <c r="R87" s="369">
        <f t="shared" si="36"/>
        <v>0.21290322580645152</v>
      </c>
      <c r="S87" s="369">
        <f t="shared" si="37"/>
        <v>0.23783890120895629</v>
      </c>
      <c r="AO87">
        <f t="shared" si="47"/>
        <v>2022.4166666666608</v>
      </c>
      <c r="AP87" s="160">
        <f t="shared" si="45"/>
        <v>0.64474470883654189</v>
      </c>
      <c r="AQ87" s="160">
        <f t="shared" si="53"/>
        <v>-0.5524370379651673</v>
      </c>
      <c r="AW87" s="354" t="s">
        <v>3</v>
      </c>
      <c r="AX87" s="370">
        <f>AW77</f>
        <v>2022</v>
      </c>
      <c r="AY87" s="356">
        <f>SUM(AY84:AY86)</f>
        <v>42772</v>
      </c>
      <c r="AZ87" s="356"/>
      <c r="BA87" s="356">
        <f>SUM(BA84:BA86)</f>
        <v>5939.1766057704244</v>
      </c>
      <c r="BB87" s="357">
        <f>BB86</f>
        <v>42772</v>
      </c>
      <c r="BC87" s="357">
        <f>BC86</f>
        <v>5939.1766057704244</v>
      </c>
      <c r="BD87" s="1177"/>
      <c r="BE87" s="371">
        <f t="shared" si="48"/>
        <v>-0.12731575940585979</v>
      </c>
      <c r="BF87" s="371"/>
      <c r="BG87" s="372">
        <f t="shared" si="49"/>
        <v>-0.11340770545108686</v>
      </c>
      <c r="BH87" s="373">
        <f t="shared" si="50"/>
        <v>-0.12731575940585979</v>
      </c>
      <c r="BI87" s="373">
        <f t="shared" si="51"/>
        <v>-0.11340770545108686</v>
      </c>
    </row>
    <row r="88" spans="1:61" ht="15" thickBot="1" x14ac:dyDescent="0.8">
      <c r="A88" s="354" t="s">
        <v>3</v>
      </c>
      <c r="B88" s="370">
        <v>2021</v>
      </c>
      <c r="C88" s="356">
        <f>SUM(C76:C87)</f>
        <v>296812</v>
      </c>
      <c r="D88" s="356">
        <f>SUM(D76:D87)</f>
        <v>50616</v>
      </c>
      <c r="E88" s="356">
        <f>SUM(E76:E87)</f>
        <v>582.79999999999995</v>
      </c>
      <c r="F88" s="356">
        <f>SUM(F76:F87)</f>
        <v>69215</v>
      </c>
      <c r="G88" s="357">
        <f>G80</f>
        <v>92358</v>
      </c>
      <c r="H88" s="357">
        <f>H80</f>
        <v>22090</v>
      </c>
      <c r="I88" s="357">
        <f>I80</f>
        <v>192.7</v>
      </c>
      <c r="J88" s="357">
        <f>J80</f>
        <v>21016</v>
      </c>
      <c r="K88" s="1164"/>
      <c r="L88" s="371">
        <f t="shared" ref="L88:L100" si="54">(C88-C75)/C75</f>
        <v>0.80747073940102554</v>
      </c>
      <c r="M88" s="371">
        <f t="shared" ref="M88:M100" si="55">(D88-D75)/D75</f>
        <v>0.24789822736125836</v>
      </c>
      <c r="N88" s="372">
        <f t="shared" ref="N88:N100" si="56">(E88-E75)/E75</f>
        <v>0.21290322580645152</v>
      </c>
      <c r="O88" s="373">
        <f t="shared" ref="O88:O100" si="57">(F88-F75)/F75</f>
        <v>0.23783890120895629</v>
      </c>
      <c r="P88" s="373">
        <f t="shared" ref="P88:P100" si="58">(G88-G75)/G75</f>
        <v>0.38636124829252916</v>
      </c>
      <c r="Q88" s="373">
        <f t="shared" ref="Q88:Q100" si="59">(H88-H75)/H75</f>
        <v>0.44615384615384618</v>
      </c>
      <c r="R88" s="373">
        <f t="shared" ref="R88:R100" si="60">(I88-I75)/I75</f>
        <v>-2.1827411167512748E-2</v>
      </c>
      <c r="S88" s="373">
        <f t="shared" ref="S88:S100" si="61">(J88-J75)/J75</f>
        <v>-0.27353175014691139</v>
      </c>
      <c r="AO88">
        <f t="shared" si="47"/>
        <v>2022.4999999999941</v>
      </c>
      <c r="AP88" s="160">
        <f t="shared" si="45"/>
        <v>0.32092234381940798</v>
      </c>
      <c r="AQ88" s="160">
        <f t="shared" si="53"/>
        <v>-0.28000819336337568</v>
      </c>
      <c r="AW88" s="1226">
        <v>2023</v>
      </c>
      <c r="AX88" s="880" t="s">
        <v>570</v>
      </c>
      <c r="AY88" s="334"/>
      <c r="AZ88" s="335">
        <f>INDEX($BK$16:$BL$19,MATCH($AX88,$BK$16:$BK$19,0),2)</f>
        <v>130</v>
      </c>
      <c r="BA88" s="336">
        <f>AY88/2*AZ88*$BS$13/10^3</f>
        <v>0</v>
      </c>
      <c r="BB88" s="337">
        <f>AY88</f>
        <v>0</v>
      </c>
      <c r="BC88" s="337">
        <f>BA88</f>
        <v>0</v>
      </c>
      <c r="BD88" s="1238" t="str">
        <f>"Milli áranna "&amp; AW77&amp;" og "&amp; AW88</f>
        <v>Milli áranna 2022 og 2023</v>
      </c>
      <c r="BE88" s="360">
        <f t="shared" ref="BE88:BE90" si="62">(AY88-AY77)/AY77</f>
        <v>-1</v>
      </c>
      <c r="BF88" s="360"/>
      <c r="BG88" s="360">
        <f t="shared" ref="BG88" si="63">(BA88-BA77)/BA77</f>
        <v>-1</v>
      </c>
      <c r="BH88" s="361">
        <f>(BB88-BB77)/BB77</f>
        <v>-1</v>
      </c>
      <c r="BI88" s="361">
        <f>(BC88-BC77)/BC77</f>
        <v>-1</v>
      </c>
    </row>
    <row r="89" spans="1:61" ht="14.25" x14ac:dyDescent="0.65">
      <c r="A89" s="1161">
        <v>2022</v>
      </c>
      <c r="B89" s="333" t="s">
        <v>295</v>
      </c>
      <c r="C89" s="334">
        <v>14784</v>
      </c>
      <c r="D89" s="335">
        <v>1849</v>
      </c>
      <c r="E89" s="336">
        <v>40</v>
      </c>
      <c r="F89" s="335">
        <v>7387</v>
      </c>
      <c r="G89" s="337">
        <f>C89</f>
        <v>14784</v>
      </c>
      <c r="H89" s="337">
        <f>D89</f>
        <v>1849</v>
      </c>
      <c r="I89" s="337">
        <f>E89</f>
        <v>40</v>
      </c>
      <c r="J89" s="337">
        <f>F89</f>
        <v>7387</v>
      </c>
      <c r="K89" s="1165" t="str">
        <f>"Milli áranna "&amp; A76&amp;" og "&amp; A89</f>
        <v>Milli áranna 2021 og 2022</v>
      </c>
      <c r="L89" s="360">
        <f>(C89-C76)/C76</f>
        <v>7.2158967292769605E-2</v>
      </c>
      <c r="M89" s="360">
        <f>(D89-D76)/D76</f>
        <v>-0.24252355591970504</v>
      </c>
      <c r="N89" s="360">
        <f>(E89-E76)/E76</f>
        <v>0.29032258064516131</v>
      </c>
      <c r="O89" s="361">
        <f>(F89-F76)/F76</f>
        <v>0.97671929355097675</v>
      </c>
      <c r="P89" s="361">
        <f t="shared" si="58"/>
        <v>7.2158967292769605E-2</v>
      </c>
      <c r="Q89" s="361">
        <f>(H89-H76)/H76</f>
        <v>-0.24252355591970504</v>
      </c>
      <c r="R89" s="361">
        <f>(I89-I76)/I76</f>
        <v>0.29032258064516131</v>
      </c>
      <c r="S89" s="361">
        <f>(J89-J76)/J76</f>
        <v>0.97671929355097675</v>
      </c>
      <c r="AO89">
        <f t="shared" si="47"/>
        <v>2022.5833333333273</v>
      </c>
      <c r="AP89" s="160">
        <f t="shared" si="45"/>
        <v>7.485857124062624E-2</v>
      </c>
      <c r="AQ89" s="160">
        <f t="shared" si="53"/>
        <v>-3.9973202322465387E-2</v>
      </c>
      <c r="AW89" s="1161"/>
      <c r="AX89" s="881" t="s">
        <v>573</v>
      </c>
      <c r="AY89" s="342"/>
      <c r="AZ89" s="343">
        <f>INDEX($BK$16:$BL$19,MATCH($AX89,$BK$16:$BK$19,0),2)</f>
        <v>110</v>
      </c>
      <c r="BA89" s="344">
        <f>AY89/2*AZ89*$BS$13/10^3</f>
        <v>0</v>
      </c>
      <c r="BB89" s="345">
        <f>SUM(AY88:AY89)</f>
        <v>0</v>
      </c>
      <c r="BC89" s="345">
        <f>SUM(BA88:BA89)</f>
        <v>0</v>
      </c>
      <c r="BD89" s="1176"/>
      <c r="BE89" s="360">
        <f t="shared" si="62"/>
        <v>-1</v>
      </c>
      <c r="BF89" s="363"/>
      <c r="BG89" s="364">
        <f>(BA89-BA78)/BA78</f>
        <v>-1</v>
      </c>
      <c r="BH89" s="365">
        <f t="shared" ref="BH89:BH98" si="64">(BB89-BB78)/BB78</f>
        <v>-1</v>
      </c>
      <c r="BI89" s="365">
        <f t="shared" ref="BI89:BI91" si="65">(BC89-BC78)/BC78</f>
        <v>-1</v>
      </c>
    </row>
    <row r="90" spans="1:61" ht="14.25" x14ac:dyDescent="0.65">
      <c r="A90" s="1161"/>
      <c r="B90" s="341" t="s">
        <v>299</v>
      </c>
      <c r="C90" s="342">
        <v>19321</v>
      </c>
      <c r="D90" s="343">
        <v>2523</v>
      </c>
      <c r="E90" s="344">
        <v>39</v>
      </c>
      <c r="F90" s="343">
        <v>6970</v>
      </c>
      <c r="G90" s="345">
        <f>SUM(C89:C90)</f>
        <v>34105</v>
      </c>
      <c r="H90" s="345">
        <f>SUM(D89:D90)</f>
        <v>4372</v>
      </c>
      <c r="I90" s="345">
        <f>SUM(E89:E90)</f>
        <v>79</v>
      </c>
      <c r="J90" s="345">
        <f>SUM(F89:F90)</f>
        <v>14357</v>
      </c>
      <c r="K90" s="1163"/>
      <c r="L90" s="362">
        <f t="shared" si="54"/>
        <v>0.16574152286714131</v>
      </c>
      <c r="M90" s="363">
        <f t="shared" si="55"/>
        <v>-7.4807480748074806E-2</v>
      </c>
      <c r="N90" s="364">
        <f t="shared" si="56"/>
        <v>8.3333333333333329E-2</v>
      </c>
      <c r="O90" s="365">
        <f t="shared" si="57"/>
        <v>0.94366982710540992</v>
      </c>
      <c r="P90" s="365">
        <f t="shared" si="58"/>
        <v>0.12324210387642855</v>
      </c>
      <c r="Q90" s="365">
        <f t="shared" si="59"/>
        <v>-0.15402476780185759</v>
      </c>
      <c r="R90" s="365">
        <f t="shared" si="60"/>
        <v>0.17910447761194029</v>
      </c>
      <c r="S90" s="365">
        <f t="shared" si="61"/>
        <v>0.96053529974054352</v>
      </c>
      <c r="AO90">
        <f t="shared" si="47"/>
        <v>2022.6666666666606</v>
      </c>
      <c r="AP90" s="160">
        <f t="shared" si="45"/>
        <v>3.1017008387698042E-2</v>
      </c>
      <c r="AQ90" s="160">
        <f t="shared" si="53"/>
        <v>0.24197888635893189</v>
      </c>
      <c r="AW90" s="1161"/>
      <c r="AX90" s="881" t="s">
        <v>575</v>
      </c>
      <c r="AY90" s="342"/>
      <c r="AZ90" s="399">
        <f>INDEX($BK$16:$BL$19,MATCH($AX90,$BK$16:$BK$19,0),2)</f>
        <v>3.5</v>
      </c>
      <c r="BA90" s="344">
        <f>AY90/2*AZ90*$BS$13/10^3</f>
        <v>0</v>
      </c>
      <c r="BB90" s="345">
        <f>SUM(AY88:AY90)</f>
        <v>0</v>
      </c>
      <c r="BC90" s="345">
        <f>SUM(BA88:BA90)</f>
        <v>0</v>
      </c>
      <c r="BD90" s="1176"/>
      <c r="BE90" s="360">
        <f t="shared" si="62"/>
        <v>-1</v>
      </c>
      <c r="BF90" s="363"/>
      <c r="BG90" s="364">
        <f t="shared" ref="BG90:BG98" si="66">(BA90-BA79)/BA79</f>
        <v>-1</v>
      </c>
      <c r="BH90" s="365">
        <f t="shared" si="64"/>
        <v>-1</v>
      </c>
      <c r="BI90" s="365">
        <f t="shared" si="65"/>
        <v>-1</v>
      </c>
    </row>
    <row r="91" spans="1:61" ht="14.25" x14ac:dyDescent="0.65">
      <c r="A91" s="1161"/>
      <c r="B91" s="341" t="s">
        <v>303</v>
      </c>
      <c r="C91" s="342">
        <v>27335</v>
      </c>
      <c r="D91" s="343">
        <v>2346</v>
      </c>
      <c r="E91" s="344">
        <v>49</v>
      </c>
      <c r="F91" s="343">
        <v>7191</v>
      </c>
      <c r="G91" s="345">
        <f>SUM(C89:C91)</f>
        <v>61440</v>
      </c>
      <c r="H91" s="345">
        <f>SUM(D89:D91)</f>
        <v>6718</v>
      </c>
      <c r="I91" s="345">
        <f>SUM(E89:E91)</f>
        <v>128</v>
      </c>
      <c r="J91" s="345">
        <f>SUM(F89:F91)</f>
        <v>21548</v>
      </c>
      <c r="K91" s="1163"/>
      <c r="L91" s="362">
        <f t="shared" si="54"/>
        <v>0.33302448063981271</v>
      </c>
      <c r="M91" s="363">
        <f t="shared" si="55"/>
        <v>-0.44036259541984735</v>
      </c>
      <c r="N91" s="364">
        <f t="shared" si="56"/>
        <v>0.3611111111111111</v>
      </c>
      <c r="O91" s="365">
        <f t="shared" si="57"/>
        <v>0.659206275957545</v>
      </c>
      <c r="P91" s="365">
        <f t="shared" si="58"/>
        <v>0.20780829188700387</v>
      </c>
      <c r="Q91" s="365">
        <f t="shared" si="59"/>
        <v>-0.28226495726495726</v>
      </c>
      <c r="R91" s="365">
        <f t="shared" si="60"/>
        <v>0.24271844660194175</v>
      </c>
      <c r="S91" s="365">
        <f t="shared" si="61"/>
        <v>0.84850304538045807</v>
      </c>
      <c r="AO91">
        <f t="shared" si="47"/>
        <v>2022.7499999999939</v>
      </c>
      <c r="AP91" s="160">
        <f t="shared" si="45"/>
        <v>0.28600121728545341</v>
      </c>
      <c r="AQ91" s="160">
        <f t="shared" si="53"/>
        <v>0.32953367875647671</v>
      </c>
      <c r="AW91" s="1161"/>
      <c r="AX91" s="881" t="s">
        <v>577</v>
      </c>
      <c r="AY91" s="342"/>
      <c r="AZ91" s="343"/>
      <c r="BA91" s="344">
        <f>SUM(BA88:BA90)</f>
        <v>0</v>
      </c>
      <c r="BB91" s="345">
        <f>SUM(AY88:AY90)</f>
        <v>0</v>
      </c>
      <c r="BC91" s="345">
        <f>SUM(BA88:BA90)</f>
        <v>0</v>
      </c>
      <c r="BD91" s="1176"/>
      <c r="BE91" s="360">
        <f>(AY91-AY80)/AY80</f>
        <v>-1</v>
      </c>
      <c r="BF91" s="363"/>
      <c r="BG91" s="364">
        <f t="shared" si="66"/>
        <v>-1</v>
      </c>
      <c r="BH91" s="365">
        <f t="shared" si="64"/>
        <v>-1</v>
      </c>
      <c r="BI91" s="365">
        <f t="shared" si="65"/>
        <v>-1</v>
      </c>
    </row>
    <row r="92" spans="1:61" ht="14.25" x14ac:dyDescent="0.65">
      <c r="A92" s="1161"/>
      <c r="B92" s="341" t="s">
        <v>306</v>
      </c>
      <c r="C92" s="342">
        <v>27510</v>
      </c>
      <c r="D92" s="343">
        <v>3583</v>
      </c>
      <c r="E92" s="344">
        <v>61.9</v>
      </c>
      <c r="F92" s="343">
        <v>7716</v>
      </c>
      <c r="G92" s="345">
        <f>SUM(C89:C92)</f>
        <v>88950</v>
      </c>
      <c r="H92" s="345">
        <f>SUM(D89:D92)</f>
        <v>10301</v>
      </c>
      <c r="I92" s="345">
        <f>SUM(E89:E92)</f>
        <v>189.9</v>
      </c>
      <c r="J92" s="345">
        <f>SUM(F89:F92)</f>
        <v>29264</v>
      </c>
      <c r="K92" s="1163"/>
      <c r="L92" s="362">
        <f t="shared" si="54"/>
        <v>0.64474470883654189</v>
      </c>
      <c r="M92" s="363">
        <f t="shared" si="55"/>
        <v>-0.24552537376289746</v>
      </c>
      <c r="N92" s="364">
        <f t="shared" si="56"/>
        <v>0.50242718446601931</v>
      </c>
      <c r="O92" s="365">
        <f t="shared" si="57"/>
        <v>0.68803325311747976</v>
      </c>
      <c r="P92" s="365">
        <f t="shared" si="58"/>
        <v>0.31592573415193431</v>
      </c>
      <c r="Q92" s="365">
        <f t="shared" si="59"/>
        <v>-0.26989864625416399</v>
      </c>
      <c r="R92" s="365">
        <f t="shared" si="60"/>
        <v>0.3169209431345355</v>
      </c>
      <c r="S92" s="365">
        <f t="shared" si="61"/>
        <v>0.80330293320187329</v>
      </c>
      <c r="AO92">
        <f t="shared" si="47"/>
        <v>2022.8333333333271</v>
      </c>
      <c r="AP92" s="160">
        <f t="shared" si="45"/>
        <v>0.17538245120450149</v>
      </c>
      <c r="AQ92" s="160">
        <f t="shared" si="53"/>
        <v>-5.2269305226930525E-2</v>
      </c>
      <c r="AW92" s="1161"/>
      <c r="AX92" s="881" t="s">
        <v>570</v>
      </c>
      <c r="AY92" s="342"/>
      <c r="AZ92" s="343">
        <f>INDEX($BK$16:$BL$19,MATCH($AX92,$BK$16:$BK$19,0),2)</f>
        <v>130</v>
      </c>
      <c r="BA92" s="344">
        <f>AY92/2*AZ92*$BS$13/10^3</f>
        <v>0</v>
      </c>
      <c r="BB92" s="345">
        <f>SUM(AY92)</f>
        <v>0</v>
      </c>
      <c r="BC92" s="345">
        <f>SUM(BA92)</f>
        <v>0</v>
      </c>
      <c r="BD92" s="1176"/>
      <c r="BE92" s="360">
        <f t="shared" ref="BE92" si="67">(AY92-AY81)/AY81</f>
        <v>-1</v>
      </c>
      <c r="BF92" s="363"/>
      <c r="BG92" s="364">
        <f t="shared" si="66"/>
        <v>-1</v>
      </c>
      <c r="BH92" s="365">
        <f t="shared" si="64"/>
        <v>-1</v>
      </c>
      <c r="BI92" s="365">
        <f>(BC92-BC81)/BC81</f>
        <v>-1</v>
      </c>
    </row>
    <row r="93" spans="1:61" ht="14.25" x14ac:dyDescent="0.65">
      <c r="A93" s="1161"/>
      <c r="B93" s="341" t="s">
        <v>310</v>
      </c>
      <c r="C93" s="342">
        <v>32710</v>
      </c>
      <c r="D93" s="343">
        <v>3572</v>
      </c>
      <c r="E93" s="344">
        <v>58.3</v>
      </c>
      <c r="F93" s="343">
        <v>8632</v>
      </c>
      <c r="G93" s="345">
        <f>SUM(C89:C93)</f>
        <v>121660</v>
      </c>
      <c r="H93" s="345">
        <f>SUM(D89:D93)</f>
        <v>13873</v>
      </c>
      <c r="I93" s="345">
        <f>SUM(E89:E93)</f>
        <v>248.2</v>
      </c>
      <c r="J93" s="345">
        <f>SUM(F89:F93)</f>
        <v>37896</v>
      </c>
      <c r="K93" s="1163"/>
      <c r="L93" s="362">
        <f t="shared" si="54"/>
        <v>0.32092234381940798</v>
      </c>
      <c r="M93" s="363">
        <f t="shared" si="55"/>
        <v>-0.5524370379651673</v>
      </c>
      <c r="N93" s="364">
        <f t="shared" si="56"/>
        <v>0.20206185567010304</v>
      </c>
      <c r="O93" s="365">
        <f>(F93-F80)/F80</f>
        <v>0.8028404344193818</v>
      </c>
      <c r="P93" s="365">
        <f t="shared" si="58"/>
        <v>0.31726542367742916</v>
      </c>
      <c r="Q93" s="365">
        <f>(H93-H80)/H80</f>
        <v>-0.37197827071072881</v>
      </c>
      <c r="R93" s="365">
        <f t="shared" si="60"/>
        <v>0.28801245459263103</v>
      </c>
      <c r="S93" s="365">
        <f t="shared" si="61"/>
        <v>0.80319756376094409</v>
      </c>
      <c r="AO93">
        <f t="shared" si="47"/>
        <v>2022.9166666666604</v>
      </c>
      <c r="AP93" s="160">
        <f t="shared" si="45"/>
        <v>-1.3224122299684248E-2</v>
      </c>
      <c r="AQ93" s="160">
        <f t="shared" si="53"/>
        <v>-0.13928571428571429</v>
      </c>
      <c r="AW93" s="1161"/>
      <c r="AX93" s="881" t="s">
        <v>573</v>
      </c>
      <c r="AY93" s="342"/>
      <c r="AZ93" s="343">
        <f>INDEX($BK$16:$BL$19,MATCH($AX93,$BK$16:$BK$19,0),2)</f>
        <v>110</v>
      </c>
      <c r="BA93" s="344">
        <f>AY93/2*AZ93*$BS$13/10^3</f>
        <v>0</v>
      </c>
      <c r="BB93" s="345">
        <f>SUM(AY92:AY93)</f>
        <v>0</v>
      </c>
      <c r="BC93" s="345">
        <f>SUM(BA92:BA93)</f>
        <v>0</v>
      </c>
      <c r="BD93" s="1176"/>
      <c r="BE93" s="360">
        <f>(AY93-AY82)/AY82</f>
        <v>-1</v>
      </c>
      <c r="BF93" s="363"/>
      <c r="BG93" s="364">
        <f t="shared" si="66"/>
        <v>-1</v>
      </c>
      <c r="BH93" s="365">
        <f t="shared" si="64"/>
        <v>-1</v>
      </c>
      <c r="BI93" s="365">
        <f t="shared" ref="BI93:BI94" si="68">(BC93-BC82)/BC82</f>
        <v>-1</v>
      </c>
    </row>
    <row r="94" spans="1:61" ht="14.25" x14ac:dyDescent="0.65">
      <c r="A94" s="1161"/>
      <c r="B94" s="341" t="s">
        <v>314</v>
      </c>
      <c r="C94" s="342">
        <v>32680</v>
      </c>
      <c r="D94" s="343">
        <v>3515</v>
      </c>
      <c r="E94" s="344">
        <v>76.099999999999994</v>
      </c>
      <c r="F94" s="343">
        <v>9981</v>
      </c>
      <c r="G94" s="345">
        <f>SUM(C89:C94)</f>
        <v>154340</v>
      </c>
      <c r="H94" s="345">
        <f>SUM(D89:D94)</f>
        <v>17388</v>
      </c>
      <c r="I94" s="345">
        <f>SUM(E89:E94)</f>
        <v>324.29999999999995</v>
      </c>
      <c r="J94" s="345">
        <f>SUM(F89:F94)</f>
        <v>47877</v>
      </c>
      <c r="K94" s="1163"/>
      <c r="L94" s="362">
        <f t="shared" si="54"/>
        <v>7.485857124062624E-2</v>
      </c>
      <c r="M94" s="363">
        <f t="shared" si="55"/>
        <v>-0.28000819336337568</v>
      </c>
      <c r="N94" s="364">
        <f t="shared" si="56"/>
        <v>0.31889081455805879</v>
      </c>
      <c r="O94" s="365">
        <f t="shared" si="57"/>
        <v>0.80618892508143325</v>
      </c>
      <c r="P94" s="365">
        <f>(G94-G81)/G81</f>
        <v>0.25722943581890162</v>
      </c>
      <c r="Q94" s="365">
        <f t="shared" si="59"/>
        <v>-0.35533145484205841</v>
      </c>
      <c r="R94" s="365">
        <f t="shared" si="60"/>
        <v>0.29512779552715651</v>
      </c>
      <c r="S94" s="365">
        <f t="shared" si="61"/>
        <v>0.80382036018385949</v>
      </c>
      <c r="AO94">
        <f t="shared" si="47"/>
        <v>2022.9999999999936</v>
      </c>
      <c r="AP94" s="160">
        <f t="shared" si="45"/>
        <v>0.16889418574955309</v>
      </c>
      <c r="AQ94" s="160">
        <f>M100</f>
        <v>3.9694100509832485E-2</v>
      </c>
      <c r="AW94" s="1161"/>
      <c r="AX94" s="881" t="s">
        <v>581</v>
      </c>
      <c r="AY94" s="342"/>
      <c r="AZ94" s="343"/>
      <c r="BA94" s="344">
        <f>SUM(BA92:BA93)</f>
        <v>0</v>
      </c>
      <c r="BB94" s="345">
        <f>SUM(AY94)</f>
        <v>0</v>
      </c>
      <c r="BC94" s="345">
        <f>SUM(BA94)</f>
        <v>0</v>
      </c>
      <c r="BD94" s="1176"/>
      <c r="BE94" s="360">
        <f t="shared" ref="BE94:BE98" si="69">(AY94-AY83)/AY83</f>
        <v>-1</v>
      </c>
      <c r="BF94" s="363"/>
      <c r="BG94" s="364">
        <f t="shared" si="66"/>
        <v>-1</v>
      </c>
      <c r="BH94" s="365">
        <f t="shared" si="64"/>
        <v>-1</v>
      </c>
      <c r="BI94" s="365">
        <f t="shared" si="68"/>
        <v>-1</v>
      </c>
    </row>
    <row r="95" spans="1:61" ht="14.25" x14ac:dyDescent="0.65">
      <c r="A95" s="1161"/>
      <c r="B95" s="341" t="s">
        <v>316</v>
      </c>
      <c r="C95" s="342">
        <v>35401</v>
      </c>
      <c r="D95" s="343">
        <v>4299</v>
      </c>
      <c r="E95" s="344">
        <v>70.2</v>
      </c>
      <c r="F95" s="343">
        <v>10996</v>
      </c>
      <c r="G95" s="345">
        <f>SUM(C89:C95)</f>
        <v>189741</v>
      </c>
      <c r="H95" s="345">
        <f>SUM(D89:D95)</f>
        <v>21687</v>
      </c>
      <c r="I95" s="345">
        <f>SUM(E89:E95)</f>
        <v>394.49999999999994</v>
      </c>
      <c r="J95" s="345">
        <f>SUM(F89:F95)</f>
        <v>58873</v>
      </c>
      <c r="K95" s="1163"/>
      <c r="L95" s="362">
        <f t="shared" si="54"/>
        <v>3.1017008387698042E-2</v>
      </c>
      <c r="M95" s="363">
        <f t="shared" si="55"/>
        <v>-3.9973202322465387E-2</v>
      </c>
      <c r="N95" s="364">
        <f>(E95-E82)/E82</f>
        <v>3.3873343151693623E-2</v>
      </c>
      <c r="O95" s="365">
        <f t="shared" si="57"/>
        <v>0.75123427297340339</v>
      </c>
      <c r="P95" s="365">
        <f t="shared" si="58"/>
        <v>0.20778749570331895</v>
      </c>
      <c r="Q95" s="365">
        <f t="shared" si="59"/>
        <v>-0.31042925278219397</v>
      </c>
      <c r="R95" s="365">
        <f t="shared" si="60"/>
        <v>0.23939679547596607</v>
      </c>
      <c r="S95" s="365">
        <f t="shared" si="61"/>
        <v>0.79376009262362512</v>
      </c>
      <c r="AW95" s="1161"/>
      <c r="AX95" s="882" t="s">
        <v>570</v>
      </c>
      <c r="AY95" s="421">
        <f t="shared" ref="AY95:AY96" si="70">AY84*$AY$98/$AY$87</f>
        <v>17259.911063312447</v>
      </c>
      <c r="AZ95" s="343">
        <f>INDEX($BK$16:$BL$19,MATCH($AX95,$BK$16:$BK$19,0),2)</f>
        <v>130</v>
      </c>
      <c r="BA95" s="344">
        <f>AY95/2*AZ95*$BS$13/10^3</f>
        <v>3511.878729622797</v>
      </c>
      <c r="BB95" s="345">
        <f>SUM(AY95)</f>
        <v>17259.911063312447</v>
      </c>
      <c r="BC95" s="345">
        <f>SUM(BA95)</f>
        <v>3511.878729622797</v>
      </c>
      <c r="BD95" s="1176"/>
      <c r="BE95" s="360">
        <f t="shared" si="69"/>
        <v>4.2013466753951179E-2</v>
      </c>
      <c r="BF95" s="363"/>
      <c r="BG95" s="364">
        <f t="shared" si="66"/>
        <v>4.2013466753951255E-2</v>
      </c>
      <c r="BH95" s="365">
        <f t="shared" si="64"/>
        <v>4.2013466753951179E-2</v>
      </c>
      <c r="BI95" s="365">
        <f>(BC95-BC84)/BC84</f>
        <v>4.2013466753951255E-2</v>
      </c>
    </row>
    <row r="96" spans="1:61" ht="14.25" x14ac:dyDescent="0.65">
      <c r="A96" s="1161"/>
      <c r="B96" s="341" t="s">
        <v>319</v>
      </c>
      <c r="C96" s="342">
        <v>42258</v>
      </c>
      <c r="D96" s="343">
        <v>6000</v>
      </c>
      <c r="E96" s="344">
        <v>65</v>
      </c>
      <c r="F96" s="343">
        <v>10954</v>
      </c>
      <c r="G96" s="345">
        <f>SUM(C89:C96)</f>
        <v>231999</v>
      </c>
      <c r="H96" s="345">
        <f>SUM(D89:D96)</f>
        <v>27687</v>
      </c>
      <c r="I96" s="345">
        <f>SUM(E89:E96)</f>
        <v>459.49999999999994</v>
      </c>
      <c r="J96" s="345">
        <f>SUM(F89:F96)</f>
        <v>69827</v>
      </c>
      <c r="K96" s="1163"/>
      <c r="L96" s="362">
        <f t="shared" si="54"/>
        <v>0.28600121728545341</v>
      </c>
      <c r="M96" s="363">
        <f t="shared" si="55"/>
        <v>0.24197888635893189</v>
      </c>
      <c r="N96" s="364">
        <f t="shared" si="56"/>
        <v>0.78082191780821919</v>
      </c>
      <c r="O96" s="365">
        <f t="shared" si="57"/>
        <v>0.65969696969696967</v>
      </c>
      <c r="P96" s="365">
        <f t="shared" si="58"/>
        <v>0.22131734383390012</v>
      </c>
      <c r="Q96" s="365">
        <f t="shared" si="59"/>
        <v>-0.23687329456189191</v>
      </c>
      <c r="R96" s="365">
        <f t="shared" si="60"/>
        <v>0.29509582863585121</v>
      </c>
      <c r="S96" s="365">
        <f t="shared" si="61"/>
        <v>0.77131478146165744</v>
      </c>
      <c r="AW96" s="1161"/>
      <c r="AX96" s="882" t="s">
        <v>573</v>
      </c>
      <c r="AY96" s="421">
        <f t="shared" si="70"/>
        <v>15161.295941269989</v>
      </c>
      <c r="AZ96" s="343">
        <f>INDEX($BK$16:$BL$19,MATCH($AX96,$BK$16:$BK$19,0),2)</f>
        <v>110</v>
      </c>
      <c r="BA96" s="344">
        <f>AY96/2*AZ96*$BS$13/10^3</f>
        <v>2610.277110118926</v>
      </c>
      <c r="BB96" s="345">
        <f>SUM(AY95:AY96)</f>
        <v>32421.207004582437</v>
      </c>
      <c r="BC96" s="345">
        <f>SUM(BA95:BA96)</f>
        <v>6122.155839741723</v>
      </c>
      <c r="BD96" s="1176"/>
      <c r="BE96" s="360">
        <f t="shared" si="69"/>
        <v>4.2013466753951151E-2</v>
      </c>
      <c r="BF96" s="363"/>
      <c r="BG96" s="364">
        <f t="shared" si="66"/>
        <v>4.2013466753951172E-2</v>
      </c>
      <c r="BH96" s="365">
        <f t="shared" si="64"/>
        <v>4.2013466753951165E-2</v>
      </c>
      <c r="BI96" s="365">
        <f t="shared" ref="BI96:BI98" si="71">(BC96-BC85)/BC85</f>
        <v>4.201346675395122E-2</v>
      </c>
    </row>
    <row r="97" spans="1:61" ht="15" thickBot="1" x14ac:dyDescent="0.8">
      <c r="A97" s="1161"/>
      <c r="B97" s="341" t="s">
        <v>321</v>
      </c>
      <c r="C97" s="342">
        <v>33422</v>
      </c>
      <c r="D97" s="343">
        <v>5132</v>
      </c>
      <c r="E97" s="344">
        <v>61.1</v>
      </c>
      <c r="F97" s="343">
        <v>10534</v>
      </c>
      <c r="G97" s="345">
        <f>SUM(C89:C97)</f>
        <v>265421</v>
      </c>
      <c r="H97" s="345">
        <f>SUM(D89:D97)</f>
        <v>32819</v>
      </c>
      <c r="I97" s="345">
        <f>SUM(E89:E97)</f>
        <v>520.59999999999991</v>
      </c>
      <c r="J97" s="345">
        <f>SUM(F89:F97)</f>
        <v>80361</v>
      </c>
      <c r="K97" s="1163"/>
      <c r="L97" s="362">
        <f t="shared" si="54"/>
        <v>0.17538245120450149</v>
      </c>
      <c r="M97" s="363">
        <f t="shared" si="55"/>
        <v>0.32953367875647671</v>
      </c>
      <c r="N97" s="364">
        <f t="shared" si="56"/>
        <v>0.16826003824091787</v>
      </c>
      <c r="O97" s="365">
        <f t="shared" si="57"/>
        <v>0.40509537148192609</v>
      </c>
      <c r="P97" s="365">
        <f t="shared" si="58"/>
        <v>0.21533657214288004</v>
      </c>
      <c r="Q97" s="365">
        <f t="shared" si="59"/>
        <v>-0.18240701527116912</v>
      </c>
      <c r="R97" s="365">
        <f t="shared" si="60"/>
        <v>0.27880127732743787</v>
      </c>
      <c r="S97" s="365">
        <f t="shared" si="61"/>
        <v>0.71279679440726373</v>
      </c>
      <c r="AW97" s="1162"/>
      <c r="AX97" s="882" t="s">
        <v>575</v>
      </c>
      <c r="AY97" s="421">
        <f>AY86*$AY$98/$AY$87</f>
        <v>12147.792995417563</v>
      </c>
      <c r="AZ97" s="399">
        <f>INDEX($BK$16:$BL$19,MATCH($AX97,$BK$16:$BK$19,0),2)</f>
        <v>3.5</v>
      </c>
      <c r="BA97" s="344">
        <f>AY97/2*AZ97*$BS$13/10^3</f>
        <v>66.546164901082506</v>
      </c>
      <c r="BB97" s="345">
        <f>SUM(AY95:AY97)</f>
        <v>44569</v>
      </c>
      <c r="BC97" s="345">
        <f>SUM(BA95:BA97)</f>
        <v>6188.7020046428052</v>
      </c>
      <c r="BD97" s="1176"/>
      <c r="BE97" s="360">
        <f t="shared" si="69"/>
        <v>4.201346675395122E-2</v>
      </c>
      <c r="BF97" s="363"/>
      <c r="BG97" s="364">
        <f t="shared" si="66"/>
        <v>4.2013466753951269E-2</v>
      </c>
      <c r="BH97" s="365">
        <f t="shared" si="64"/>
        <v>4.2013466753951186E-2</v>
      </c>
      <c r="BI97" s="365">
        <f t="shared" si="71"/>
        <v>4.2013466753951241E-2</v>
      </c>
    </row>
    <row r="98" spans="1:61" ht="15" thickBot="1" x14ac:dyDescent="0.8">
      <c r="A98" s="1161"/>
      <c r="B98" s="341" t="s">
        <v>323</v>
      </c>
      <c r="C98" s="342">
        <v>31564</v>
      </c>
      <c r="D98" s="343">
        <v>4406</v>
      </c>
      <c r="E98" s="344">
        <v>57.9</v>
      </c>
      <c r="F98" s="343">
        <v>10498</v>
      </c>
      <c r="G98" s="345">
        <f>SUM(C89:C98)</f>
        <v>296985</v>
      </c>
      <c r="H98" s="345">
        <f>SUM(D89:D98)</f>
        <v>37225</v>
      </c>
      <c r="I98" s="345">
        <f>SUM(E89:E98)</f>
        <v>578.49999999999989</v>
      </c>
      <c r="J98" s="345">
        <f>SUM(F89:F98)</f>
        <v>90859</v>
      </c>
      <c r="K98" s="1163"/>
      <c r="L98" s="362">
        <f t="shared" si="54"/>
        <v>-1.3224122299684248E-2</v>
      </c>
      <c r="M98" s="363">
        <f>(D98-D85)/D85</f>
        <v>-5.2269305226930525E-2</v>
      </c>
      <c r="N98" s="364">
        <f t="shared" si="56"/>
        <v>2.2968197879858605E-2</v>
      </c>
      <c r="O98" s="365">
        <f t="shared" si="57"/>
        <v>0.40610768818644521</v>
      </c>
      <c r="P98" s="365">
        <f t="shared" si="58"/>
        <v>0.18613707165109034</v>
      </c>
      <c r="Q98" s="365">
        <f t="shared" si="59"/>
        <v>-0.16889930788122348</v>
      </c>
      <c r="R98" s="365">
        <f t="shared" si="60"/>
        <v>0.2475738624110414</v>
      </c>
      <c r="S98" s="365">
        <f t="shared" si="61"/>
        <v>0.67069358634892617</v>
      </c>
      <c r="AW98" s="354" t="s">
        <v>3</v>
      </c>
      <c r="AX98" s="370">
        <f>AW88</f>
        <v>2023</v>
      </c>
      <c r="AY98" s="356">
        <v>44569</v>
      </c>
      <c r="AZ98" s="356"/>
      <c r="BA98" s="356">
        <f>SUM(BA95:BA97)</f>
        <v>6188.7020046428052</v>
      </c>
      <c r="BB98" s="357">
        <f>BB97</f>
        <v>44569</v>
      </c>
      <c r="BC98" s="357">
        <f>BC97</f>
        <v>6188.7020046428052</v>
      </c>
      <c r="BD98" s="1177"/>
      <c r="BE98" s="371">
        <f t="shared" si="69"/>
        <v>4.2013466753951186E-2</v>
      </c>
      <c r="BF98" s="371"/>
      <c r="BG98" s="372">
        <f t="shared" si="66"/>
        <v>4.2013466753951241E-2</v>
      </c>
      <c r="BH98" s="373">
        <f t="shared" si="64"/>
        <v>4.2013466753951186E-2</v>
      </c>
      <c r="BI98" s="373">
        <f t="shared" si="71"/>
        <v>4.2013466753951241E-2</v>
      </c>
    </row>
    <row r="99" spans="1:61" ht="14.25" x14ac:dyDescent="0.65">
      <c r="A99" s="1161"/>
      <c r="B99" s="341" t="s">
        <v>326</v>
      </c>
      <c r="C99" s="342">
        <v>27462</v>
      </c>
      <c r="D99" s="343">
        <v>2651</v>
      </c>
      <c r="E99" s="344">
        <v>62.5</v>
      </c>
      <c r="F99" s="343">
        <v>9535</v>
      </c>
      <c r="G99" s="345">
        <f>SUM(C89:C99)</f>
        <v>324447</v>
      </c>
      <c r="H99" s="345">
        <f>SUM(D89:D99)</f>
        <v>39876</v>
      </c>
      <c r="I99" s="345">
        <f>SUM(E89:E99)</f>
        <v>640.99999999999989</v>
      </c>
      <c r="J99" s="345">
        <f>SUM(F89:F99)</f>
        <v>100394</v>
      </c>
      <c r="K99" s="1163"/>
      <c r="L99" s="362">
        <f t="shared" si="54"/>
        <v>0.16889418574955309</v>
      </c>
      <c r="M99" s="363">
        <f t="shared" si="55"/>
        <v>-0.13928571428571429</v>
      </c>
      <c r="N99" s="364">
        <f t="shared" si="56"/>
        <v>0.38580931263858087</v>
      </c>
      <c r="O99" s="365">
        <f t="shared" si="57"/>
        <v>0.3456110640699972</v>
      </c>
      <c r="P99" s="365">
        <f t="shared" si="58"/>
        <v>0.18465790838122639</v>
      </c>
      <c r="Q99" s="365">
        <f t="shared" si="59"/>
        <v>-0.16699394192604972</v>
      </c>
      <c r="R99" s="365">
        <f t="shared" si="60"/>
        <v>0.25982704402515699</v>
      </c>
      <c r="S99" s="365">
        <f t="shared" si="61"/>
        <v>0.63321945664551815</v>
      </c>
    </row>
    <row r="100" spans="1:61" ht="15" thickBot="1" x14ac:dyDescent="0.8">
      <c r="A100" s="1227"/>
      <c r="B100" s="349" t="s">
        <v>327</v>
      </c>
      <c r="C100" s="350">
        <v>24366</v>
      </c>
      <c r="D100" s="351">
        <v>2855</v>
      </c>
      <c r="E100" s="352">
        <v>69</v>
      </c>
      <c r="F100" s="353">
        <v>8387</v>
      </c>
      <c r="G100" s="345">
        <f>SUM(C89:C100)</f>
        <v>348813</v>
      </c>
      <c r="H100" s="345">
        <f>SUM(D89:D100)</f>
        <v>42731</v>
      </c>
      <c r="I100" s="345">
        <f>SUM(E89:E100)</f>
        <v>709.99999999999989</v>
      </c>
      <c r="J100" s="345">
        <f>SUM(F89:F100)</f>
        <v>108781</v>
      </c>
      <c r="K100" s="1163"/>
      <c r="L100" s="366">
        <f t="shared" si="54"/>
        <v>6.2254773737902169E-2</v>
      </c>
      <c r="M100" s="367">
        <f t="shared" si="55"/>
        <v>3.9694100509832485E-2</v>
      </c>
      <c r="N100" s="368">
        <f t="shared" si="56"/>
        <v>-6.7567567567567571E-2</v>
      </c>
      <c r="O100" s="369">
        <f t="shared" si="57"/>
        <v>8.2892188508715298E-2</v>
      </c>
      <c r="P100" s="369">
        <f t="shared" si="58"/>
        <v>0.17519844211150493</v>
      </c>
      <c r="Q100" s="369">
        <f t="shared" si="59"/>
        <v>-0.15578078078078078</v>
      </c>
      <c r="R100" s="369">
        <f t="shared" si="60"/>
        <v>0.21825669183253249</v>
      </c>
      <c r="S100" s="369">
        <f t="shared" si="61"/>
        <v>0.57163909557176917</v>
      </c>
    </row>
    <row r="101" spans="1:61" ht="15" thickBot="1" x14ac:dyDescent="0.75">
      <c r="A101" s="354" t="s">
        <v>3</v>
      </c>
      <c r="B101" s="370">
        <f>A89</f>
        <v>2022</v>
      </c>
      <c r="C101" s="356">
        <f>SUM(C89:C100)</f>
        <v>348813</v>
      </c>
      <c r="D101" s="356">
        <f>SUM(D89:D100)</f>
        <v>42731</v>
      </c>
      <c r="E101" s="356">
        <f>SUM(E89:E100)</f>
        <v>709.99999999999989</v>
      </c>
      <c r="F101" s="356">
        <f>SUM(F89:F100)</f>
        <v>108781</v>
      </c>
      <c r="G101" s="357">
        <f>G93</f>
        <v>121660</v>
      </c>
      <c r="H101" s="357">
        <f>H93</f>
        <v>13873</v>
      </c>
      <c r="I101" s="357">
        <f>I93</f>
        <v>248.2</v>
      </c>
      <c r="J101" s="357">
        <f>J93</f>
        <v>37896</v>
      </c>
      <c r="K101" s="1164"/>
      <c r="L101" s="371">
        <f t="shared" ref="L101" si="72">(C101-C88)/C88</f>
        <v>0.17519844211150493</v>
      </c>
      <c r="M101" s="371">
        <f t="shared" ref="M101" si="73">(D101-D88)/D88</f>
        <v>-0.15578078078078078</v>
      </c>
      <c r="N101" s="372">
        <f t="shared" ref="N101" si="74">(E101-E88)/E88</f>
        <v>0.21825669183253249</v>
      </c>
      <c r="O101" s="373">
        <f t="shared" ref="O101" si="75">(F101-F88)/F88</f>
        <v>0.57163909557176917</v>
      </c>
      <c r="P101" s="373">
        <f t="shared" ref="P101:P106" si="76">(G101-G88)/G88</f>
        <v>0.31726542367742916</v>
      </c>
      <c r="Q101" s="373">
        <f t="shared" ref="Q101" si="77">(H101-H88)/H88</f>
        <v>-0.37197827071072881</v>
      </c>
      <c r="R101" s="373">
        <f t="shared" ref="R101" si="78">(I101-I88)/I88</f>
        <v>0.28801245459263103</v>
      </c>
      <c r="S101" s="373">
        <f t="shared" ref="S101" si="79">(J101-J88)/J88</f>
        <v>0.80319756376094409</v>
      </c>
    </row>
    <row r="102" spans="1:61" ht="14.25" x14ac:dyDescent="0.65">
      <c r="A102" s="1161">
        <v>2023</v>
      </c>
      <c r="B102" s="333" t="s">
        <v>295</v>
      </c>
      <c r="C102" s="334"/>
      <c r="D102" s="335"/>
      <c r="E102" s="336"/>
      <c r="F102" s="335"/>
      <c r="G102" s="337">
        <f>C102</f>
        <v>0</v>
      </c>
      <c r="H102" s="337">
        <f>D102</f>
        <v>0</v>
      </c>
      <c r="I102" s="337">
        <f>E102</f>
        <v>0</v>
      </c>
      <c r="J102" s="337">
        <f>F102</f>
        <v>0</v>
      </c>
      <c r="K102" s="1165" t="str">
        <f>"Milli áranna "&amp; A89&amp;" og "&amp; A102</f>
        <v>Milli áranna 2022 og 2023</v>
      </c>
      <c r="L102" s="360">
        <f>(C102-C89)/C89</f>
        <v>-1</v>
      </c>
      <c r="M102" s="360">
        <f>(D102-D89)/D89</f>
        <v>-1</v>
      </c>
      <c r="N102" s="360">
        <f>(E102-E89)/E89</f>
        <v>-1</v>
      </c>
      <c r="O102" s="361">
        <f>(F102-F89)/F89</f>
        <v>-1</v>
      </c>
      <c r="P102" s="361">
        <f t="shared" si="76"/>
        <v>-1</v>
      </c>
      <c r="Q102" s="361">
        <f>(H102-H89)/H89</f>
        <v>-1</v>
      </c>
      <c r="R102" s="361">
        <f>(I102-I89)/I89</f>
        <v>-1</v>
      </c>
      <c r="S102" s="361">
        <f>(J102-J89)/J89</f>
        <v>-1</v>
      </c>
    </row>
    <row r="103" spans="1:61" ht="14.25" x14ac:dyDescent="0.65">
      <c r="A103" s="1161"/>
      <c r="B103" s="341" t="s">
        <v>299</v>
      </c>
      <c r="C103" s="342"/>
      <c r="D103" s="343"/>
      <c r="E103" s="344"/>
      <c r="F103" s="343"/>
      <c r="G103" s="345">
        <f>SUM(C102:C103)</f>
        <v>0</v>
      </c>
      <c r="H103" s="345">
        <f>SUM(D102:D103)</f>
        <v>0</v>
      </c>
      <c r="I103" s="345">
        <f>SUM(E102:E103)</f>
        <v>0</v>
      </c>
      <c r="J103" s="345">
        <f>SUM(F102:F103)</f>
        <v>0</v>
      </c>
      <c r="K103" s="1163"/>
      <c r="L103" s="362">
        <f t="shared" ref="L103:L114" si="80">(C103-C90)/C90</f>
        <v>-1</v>
      </c>
      <c r="M103" s="363">
        <f t="shared" ref="M103:M110" si="81">(D103-D90)/D90</f>
        <v>-1</v>
      </c>
      <c r="N103" s="364">
        <f t="shared" ref="N103:N107" si="82">(E103-E90)/E90</f>
        <v>-1</v>
      </c>
      <c r="O103" s="365">
        <f t="shared" ref="O103:O105" si="83">(F103-F90)/F90</f>
        <v>-1</v>
      </c>
      <c r="P103" s="365">
        <f t="shared" si="76"/>
        <v>-1</v>
      </c>
      <c r="Q103" s="365">
        <f t="shared" ref="Q103:Q105" si="84">(H103-H90)/H90</f>
        <v>-1</v>
      </c>
      <c r="R103" s="365">
        <f t="shared" ref="R103:R114" si="85">(I103-I90)/I90</f>
        <v>-1</v>
      </c>
      <c r="S103" s="365">
        <f t="shared" ref="S103:S114" si="86">(J103-J90)/J90</f>
        <v>-1</v>
      </c>
    </row>
    <row r="104" spans="1:61" ht="14.25" x14ac:dyDescent="0.65">
      <c r="A104" s="1161"/>
      <c r="B104" s="341" t="s">
        <v>303</v>
      </c>
      <c r="C104" s="342"/>
      <c r="D104" s="343"/>
      <c r="E104" s="344"/>
      <c r="F104" s="343"/>
      <c r="G104" s="345">
        <f>SUM(C102:C104)</f>
        <v>0</v>
      </c>
      <c r="H104" s="345">
        <f>SUM(D102:D104)</f>
        <v>0</v>
      </c>
      <c r="I104" s="345">
        <f>SUM(E102:E104)</f>
        <v>0</v>
      </c>
      <c r="J104" s="345">
        <f>SUM(F102:F104)</f>
        <v>0</v>
      </c>
      <c r="K104" s="1163"/>
      <c r="L104" s="362">
        <f t="shared" si="80"/>
        <v>-1</v>
      </c>
      <c r="M104" s="363">
        <f t="shared" si="81"/>
        <v>-1</v>
      </c>
      <c r="N104" s="364">
        <f t="shared" si="82"/>
        <v>-1</v>
      </c>
      <c r="O104" s="365">
        <f t="shared" si="83"/>
        <v>-1</v>
      </c>
      <c r="P104" s="365">
        <f t="shared" si="76"/>
        <v>-1</v>
      </c>
      <c r="Q104" s="365">
        <f t="shared" si="84"/>
        <v>-1</v>
      </c>
      <c r="R104" s="365">
        <f t="shared" si="85"/>
        <v>-1</v>
      </c>
      <c r="S104" s="365">
        <f t="shared" si="86"/>
        <v>-1</v>
      </c>
    </row>
    <row r="105" spans="1:61" ht="14.25" x14ac:dyDescent="0.65">
      <c r="A105" s="1161"/>
      <c r="B105" s="341" t="s">
        <v>306</v>
      </c>
      <c r="C105" s="342"/>
      <c r="D105" s="343"/>
      <c r="E105" s="344"/>
      <c r="F105" s="343"/>
      <c r="G105" s="345">
        <f>SUM(C102:C105)</f>
        <v>0</v>
      </c>
      <c r="H105" s="345">
        <f>SUM(D102:D105)</f>
        <v>0</v>
      </c>
      <c r="I105" s="345">
        <f>SUM(E102:E105)</f>
        <v>0</v>
      </c>
      <c r="J105" s="345">
        <f>SUM(F102:F105)</f>
        <v>0</v>
      </c>
      <c r="K105" s="1163"/>
      <c r="L105" s="362">
        <f t="shared" si="80"/>
        <v>-1</v>
      </c>
      <c r="M105" s="363">
        <f t="shared" si="81"/>
        <v>-1</v>
      </c>
      <c r="N105" s="364">
        <f t="shared" si="82"/>
        <v>-1</v>
      </c>
      <c r="O105" s="365">
        <f t="shared" si="83"/>
        <v>-1</v>
      </c>
      <c r="P105" s="365">
        <f t="shared" si="76"/>
        <v>-1</v>
      </c>
      <c r="Q105" s="365">
        <f t="shared" si="84"/>
        <v>-1</v>
      </c>
      <c r="R105" s="365">
        <f t="shared" si="85"/>
        <v>-1</v>
      </c>
      <c r="S105" s="365">
        <f t="shared" si="86"/>
        <v>-1</v>
      </c>
    </row>
    <row r="106" spans="1:61" ht="14.25" x14ac:dyDescent="0.65">
      <c r="A106" s="1161"/>
      <c r="B106" s="341" t="s">
        <v>310</v>
      </c>
      <c r="C106" s="342"/>
      <c r="D106" s="343"/>
      <c r="E106" s="344"/>
      <c r="F106" s="343"/>
      <c r="G106" s="345">
        <f>SUM(C102:C106)</f>
        <v>0</v>
      </c>
      <c r="H106" s="345">
        <f>SUM(D102:D106)</f>
        <v>0</v>
      </c>
      <c r="I106" s="345">
        <f>SUM(E102:E106)</f>
        <v>0</v>
      </c>
      <c r="J106" s="345">
        <f>SUM(F102:F106)</f>
        <v>0</v>
      </c>
      <c r="K106" s="1163"/>
      <c r="L106" s="362">
        <f t="shared" si="80"/>
        <v>-1</v>
      </c>
      <c r="M106" s="363">
        <f t="shared" si="81"/>
        <v>-1</v>
      </c>
      <c r="N106" s="364">
        <f t="shared" si="82"/>
        <v>-1</v>
      </c>
      <c r="O106" s="365">
        <f>(F106-F93)/F93</f>
        <v>-1</v>
      </c>
      <c r="P106" s="365">
        <f t="shared" si="76"/>
        <v>-1</v>
      </c>
      <c r="Q106" s="365">
        <f>(H106-H93)/H93</f>
        <v>-1</v>
      </c>
      <c r="R106" s="365">
        <f t="shared" si="85"/>
        <v>-1</v>
      </c>
      <c r="S106" s="365">
        <f t="shared" si="86"/>
        <v>-1</v>
      </c>
    </row>
    <row r="107" spans="1:61" ht="14.25" x14ac:dyDescent="0.65">
      <c r="A107" s="1161"/>
      <c r="B107" s="341" t="s">
        <v>314</v>
      </c>
      <c r="C107" s="342"/>
      <c r="D107" s="343"/>
      <c r="E107" s="344"/>
      <c r="F107" s="343"/>
      <c r="G107" s="345">
        <f>SUM(C102:C107)</f>
        <v>0</v>
      </c>
      <c r="H107" s="345">
        <f>SUM(D102:D107)</f>
        <v>0</v>
      </c>
      <c r="I107" s="345">
        <f>SUM(E102:E107)</f>
        <v>0</v>
      </c>
      <c r="J107" s="345">
        <f>SUM(F102:F107)</f>
        <v>0</v>
      </c>
      <c r="K107" s="1163"/>
      <c r="L107" s="362">
        <f t="shared" si="80"/>
        <v>-1</v>
      </c>
      <c r="M107" s="363">
        <f t="shared" si="81"/>
        <v>-1</v>
      </c>
      <c r="N107" s="364">
        <f t="shared" si="82"/>
        <v>-1</v>
      </c>
      <c r="O107" s="365">
        <f t="shared" ref="O107:O114" si="87">(F107-F94)/F94</f>
        <v>-1</v>
      </c>
      <c r="P107" s="365">
        <f>(G107-G94)/G94</f>
        <v>-1</v>
      </c>
      <c r="Q107" s="365">
        <f t="shared" ref="Q107:Q114" si="88">(H107-H94)/H94</f>
        <v>-1</v>
      </c>
      <c r="R107" s="365">
        <f t="shared" si="85"/>
        <v>-1</v>
      </c>
      <c r="S107" s="365">
        <f t="shared" si="86"/>
        <v>-1</v>
      </c>
    </row>
    <row r="108" spans="1:61" ht="14.25" x14ac:dyDescent="0.65">
      <c r="A108" s="1161"/>
      <c r="B108" s="341" t="s">
        <v>316</v>
      </c>
      <c r="C108" s="342"/>
      <c r="D108" s="343"/>
      <c r="E108" s="344"/>
      <c r="F108" s="343"/>
      <c r="G108" s="345">
        <f>SUM(C102:C108)</f>
        <v>0</v>
      </c>
      <c r="H108" s="345">
        <f>SUM(D102:D108)</f>
        <v>0</v>
      </c>
      <c r="I108" s="345">
        <f>SUM(E102:E108)</f>
        <v>0</v>
      </c>
      <c r="J108" s="345">
        <f>SUM(F102:F108)</f>
        <v>0</v>
      </c>
      <c r="K108" s="1163"/>
      <c r="L108" s="362">
        <f t="shared" si="80"/>
        <v>-1</v>
      </c>
      <c r="M108" s="363">
        <f t="shared" si="81"/>
        <v>-1</v>
      </c>
      <c r="N108" s="364">
        <f>(E108-E95)/E95</f>
        <v>-1</v>
      </c>
      <c r="O108" s="365">
        <f t="shared" si="87"/>
        <v>-1</v>
      </c>
      <c r="P108" s="365">
        <f t="shared" ref="P108:P114" si="89">(G108-G95)/G95</f>
        <v>-1</v>
      </c>
      <c r="Q108" s="365">
        <f t="shared" si="88"/>
        <v>-1</v>
      </c>
      <c r="R108" s="365">
        <f t="shared" si="85"/>
        <v>-1</v>
      </c>
      <c r="S108" s="365">
        <f t="shared" si="86"/>
        <v>-1</v>
      </c>
    </row>
    <row r="109" spans="1:61" ht="14.25" x14ac:dyDescent="0.65">
      <c r="A109" s="1161"/>
      <c r="B109" s="341" t="s">
        <v>319</v>
      </c>
      <c r="C109" s="342"/>
      <c r="D109" s="343"/>
      <c r="E109" s="344"/>
      <c r="F109" s="343"/>
      <c r="G109" s="345">
        <f>SUM(C102:C109)</f>
        <v>0</v>
      </c>
      <c r="H109" s="345">
        <f>SUM(D102:D109)</f>
        <v>0</v>
      </c>
      <c r="I109" s="345">
        <f>SUM(E102:E109)</f>
        <v>0</v>
      </c>
      <c r="J109" s="345">
        <f>SUM(F102:F109)</f>
        <v>0</v>
      </c>
      <c r="K109" s="1163"/>
      <c r="L109" s="362">
        <f t="shared" si="80"/>
        <v>-1</v>
      </c>
      <c r="M109" s="363">
        <f t="shared" si="81"/>
        <v>-1</v>
      </c>
      <c r="N109" s="364">
        <f t="shared" ref="N109:N114" si="90">(E109-E96)/E96</f>
        <v>-1</v>
      </c>
      <c r="O109" s="365">
        <f t="shared" si="87"/>
        <v>-1</v>
      </c>
      <c r="P109" s="365">
        <f t="shared" si="89"/>
        <v>-1</v>
      </c>
      <c r="Q109" s="365">
        <f t="shared" si="88"/>
        <v>-1</v>
      </c>
      <c r="R109" s="365">
        <f t="shared" si="85"/>
        <v>-1</v>
      </c>
      <c r="S109" s="365">
        <f t="shared" si="86"/>
        <v>-1</v>
      </c>
    </row>
    <row r="110" spans="1:61" ht="14.25" x14ac:dyDescent="0.65">
      <c r="A110" s="1161"/>
      <c r="B110" s="341" t="s">
        <v>321</v>
      </c>
      <c r="C110" s="342"/>
      <c r="D110" s="343"/>
      <c r="E110" s="344"/>
      <c r="F110" s="343"/>
      <c r="G110" s="345">
        <f>SUM(C102:C110)</f>
        <v>0</v>
      </c>
      <c r="H110" s="345">
        <f>SUM(D102:D110)</f>
        <v>0</v>
      </c>
      <c r="I110" s="345">
        <f>SUM(E102:E110)</f>
        <v>0</v>
      </c>
      <c r="J110" s="345">
        <f>SUM(F102:F110)</f>
        <v>0</v>
      </c>
      <c r="K110" s="1163"/>
      <c r="L110" s="362">
        <f t="shared" si="80"/>
        <v>-1</v>
      </c>
      <c r="M110" s="363">
        <f t="shared" si="81"/>
        <v>-1</v>
      </c>
      <c r="N110" s="364">
        <f t="shared" si="90"/>
        <v>-1</v>
      </c>
      <c r="O110" s="365">
        <f t="shared" si="87"/>
        <v>-1</v>
      </c>
      <c r="P110" s="365">
        <f t="shared" si="89"/>
        <v>-1</v>
      </c>
      <c r="Q110" s="365">
        <f t="shared" si="88"/>
        <v>-1</v>
      </c>
      <c r="R110" s="365">
        <f t="shared" si="85"/>
        <v>-1</v>
      </c>
      <c r="S110" s="365">
        <f t="shared" si="86"/>
        <v>-1</v>
      </c>
    </row>
    <row r="111" spans="1:61" ht="14.25" x14ac:dyDescent="0.65">
      <c r="A111" s="1161"/>
      <c r="B111" s="341" t="s">
        <v>323</v>
      </c>
      <c r="C111" s="342"/>
      <c r="D111" s="343"/>
      <c r="E111" s="344"/>
      <c r="F111" s="343"/>
      <c r="G111" s="345">
        <f>SUM(C102:C111)</f>
        <v>0</v>
      </c>
      <c r="H111" s="345">
        <f>SUM(D102:D111)</f>
        <v>0</v>
      </c>
      <c r="I111" s="345">
        <f>SUM(E102:E111)</f>
        <v>0</v>
      </c>
      <c r="J111" s="345">
        <f>SUM(F102:F111)</f>
        <v>0</v>
      </c>
      <c r="K111" s="1163"/>
      <c r="L111" s="362">
        <f t="shared" si="80"/>
        <v>-1</v>
      </c>
      <c r="M111" s="363">
        <f>(D111-D98)/D98</f>
        <v>-1</v>
      </c>
      <c r="N111" s="364">
        <f t="shared" si="90"/>
        <v>-1</v>
      </c>
      <c r="O111" s="365">
        <f t="shared" si="87"/>
        <v>-1</v>
      </c>
      <c r="P111" s="365">
        <f t="shared" si="89"/>
        <v>-1</v>
      </c>
      <c r="Q111" s="365">
        <f t="shared" si="88"/>
        <v>-1</v>
      </c>
      <c r="R111" s="365">
        <f t="shared" si="85"/>
        <v>-1</v>
      </c>
      <c r="S111" s="365">
        <f t="shared" si="86"/>
        <v>-1</v>
      </c>
    </row>
    <row r="112" spans="1:61" ht="14.25" x14ac:dyDescent="0.65">
      <c r="A112" s="1161"/>
      <c r="B112" s="341" t="s">
        <v>326</v>
      </c>
      <c r="C112" s="342"/>
      <c r="D112" s="343"/>
      <c r="E112" s="344"/>
      <c r="F112" s="343"/>
      <c r="G112" s="345">
        <f>SUM(C102:C112)</f>
        <v>0</v>
      </c>
      <c r="H112" s="345">
        <f>SUM(D102:D112)</f>
        <v>0</v>
      </c>
      <c r="I112" s="345">
        <f>SUM(E102:E112)</f>
        <v>0</v>
      </c>
      <c r="J112" s="345">
        <f>SUM(F102:F112)</f>
        <v>0</v>
      </c>
      <c r="K112" s="1163"/>
      <c r="L112" s="362">
        <f t="shared" si="80"/>
        <v>-1</v>
      </c>
      <c r="M112" s="363">
        <f t="shared" ref="M112:M114" si="91">(D112-D99)/D99</f>
        <v>-1</v>
      </c>
      <c r="N112" s="364">
        <f t="shared" si="90"/>
        <v>-1</v>
      </c>
      <c r="O112" s="365">
        <f t="shared" si="87"/>
        <v>-1</v>
      </c>
      <c r="P112" s="365">
        <f t="shared" si="89"/>
        <v>-1</v>
      </c>
      <c r="Q112" s="365">
        <f t="shared" si="88"/>
        <v>-1</v>
      </c>
      <c r="R112" s="365">
        <f t="shared" si="85"/>
        <v>-1</v>
      </c>
      <c r="S112" s="365">
        <f t="shared" si="86"/>
        <v>-1</v>
      </c>
    </row>
    <row r="113" spans="1:19" ht="15" thickBot="1" x14ac:dyDescent="0.8">
      <c r="A113" s="1227"/>
      <c r="B113" s="349" t="s">
        <v>327</v>
      </c>
      <c r="C113" s="350"/>
      <c r="D113" s="351"/>
      <c r="E113" s="352"/>
      <c r="F113" s="353"/>
      <c r="G113" s="345">
        <f>SUM(C102:C113)</f>
        <v>0</v>
      </c>
      <c r="H113" s="345">
        <f>SUM(D102:D113)</f>
        <v>0</v>
      </c>
      <c r="I113" s="345">
        <f>SUM(E102:E113)</f>
        <v>0</v>
      </c>
      <c r="J113" s="345">
        <f>SUM(F102:F113)</f>
        <v>0</v>
      </c>
      <c r="K113" s="1163"/>
      <c r="L113" s="366">
        <f t="shared" si="80"/>
        <v>-1</v>
      </c>
      <c r="M113" s="367">
        <f t="shared" si="91"/>
        <v>-1</v>
      </c>
      <c r="N113" s="368">
        <f t="shared" si="90"/>
        <v>-1</v>
      </c>
      <c r="O113" s="369">
        <f t="shared" si="87"/>
        <v>-1</v>
      </c>
      <c r="P113" s="369">
        <f t="shared" si="89"/>
        <v>-1</v>
      </c>
      <c r="Q113" s="369">
        <f t="shared" si="88"/>
        <v>-1</v>
      </c>
      <c r="R113" s="369">
        <f t="shared" si="85"/>
        <v>-1</v>
      </c>
      <c r="S113" s="369">
        <f t="shared" si="86"/>
        <v>-1</v>
      </c>
    </row>
    <row r="114" spans="1:19" ht="15" thickBot="1" x14ac:dyDescent="0.75">
      <c r="A114" s="354" t="s">
        <v>3</v>
      </c>
      <c r="B114" s="370">
        <f>A102</f>
        <v>2023</v>
      </c>
      <c r="C114" s="356">
        <f>SUM(C102:C113)</f>
        <v>0</v>
      </c>
      <c r="D114" s="356">
        <f>SUM(D102:D113)</f>
        <v>0</v>
      </c>
      <c r="E114" s="356">
        <f>SUM(E102:E113)</f>
        <v>0</v>
      </c>
      <c r="F114" s="356">
        <f>SUM(F102:F113)</f>
        <v>0</v>
      </c>
      <c r="G114" s="357">
        <f>G106</f>
        <v>0</v>
      </c>
      <c r="H114" s="357">
        <f>H106</f>
        <v>0</v>
      </c>
      <c r="I114" s="357">
        <f>I106</f>
        <v>0</v>
      </c>
      <c r="J114" s="357">
        <f>J106</f>
        <v>0</v>
      </c>
      <c r="K114" s="1164"/>
      <c r="L114" s="371">
        <f t="shared" si="80"/>
        <v>-1</v>
      </c>
      <c r="M114" s="371">
        <f t="shared" si="91"/>
        <v>-1</v>
      </c>
      <c r="N114" s="372">
        <f t="shared" si="90"/>
        <v>-1</v>
      </c>
      <c r="O114" s="373">
        <f t="shared" si="87"/>
        <v>-1</v>
      </c>
      <c r="P114" s="373">
        <f t="shared" si="89"/>
        <v>-1</v>
      </c>
      <c r="Q114" s="373">
        <f t="shared" si="88"/>
        <v>-1</v>
      </c>
      <c r="R114" s="373">
        <f t="shared" si="85"/>
        <v>-1</v>
      </c>
      <c r="S114" s="373">
        <f t="shared" si="86"/>
        <v>-1</v>
      </c>
    </row>
  </sheetData>
  <mergeCells count="49">
    <mergeCell ref="BN7:BQ7"/>
    <mergeCell ref="BQ8:BQ9"/>
    <mergeCell ref="AW5:AX7"/>
    <mergeCell ref="AY5:BG5"/>
    <mergeCell ref="BD6:BI6"/>
    <mergeCell ref="AW8:AX8"/>
    <mergeCell ref="BE8:BG8"/>
    <mergeCell ref="BR8:BR9"/>
    <mergeCell ref="BS8:BS9"/>
    <mergeCell ref="L10:O10"/>
    <mergeCell ref="A37:A48"/>
    <mergeCell ref="K37:K49"/>
    <mergeCell ref="BE10:BG10"/>
    <mergeCell ref="AW11:AW20"/>
    <mergeCell ref="AW22:AW31"/>
    <mergeCell ref="BD22:BD32"/>
    <mergeCell ref="AW33:AW42"/>
    <mergeCell ref="BD33:BD43"/>
    <mergeCell ref="AW44:AW53"/>
    <mergeCell ref="BD44:BD54"/>
    <mergeCell ref="A50:A61"/>
    <mergeCell ref="K50:K62"/>
    <mergeCell ref="C10:F10"/>
    <mergeCell ref="A11:A22"/>
    <mergeCell ref="A24:A35"/>
    <mergeCell ref="K24:K36"/>
    <mergeCell ref="A4:O4"/>
    <mergeCell ref="A5:B7"/>
    <mergeCell ref="C5:O5"/>
    <mergeCell ref="H6:H8"/>
    <mergeCell ref="K6:S6"/>
    <mergeCell ref="L8:N8"/>
    <mergeCell ref="A8:B8"/>
    <mergeCell ref="BD77:BD87"/>
    <mergeCell ref="AW66:AW75"/>
    <mergeCell ref="BD66:BD76"/>
    <mergeCell ref="A76:A87"/>
    <mergeCell ref="K76:K88"/>
    <mergeCell ref="A63:A74"/>
    <mergeCell ref="K63:K75"/>
    <mergeCell ref="AW55:AW64"/>
    <mergeCell ref="BD55:BD65"/>
    <mergeCell ref="AW88:AW97"/>
    <mergeCell ref="BD88:BD98"/>
    <mergeCell ref="A102:A113"/>
    <mergeCell ref="K102:K114"/>
    <mergeCell ref="A89:A100"/>
    <mergeCell ref="K89:K101"/>
    <mergeCell ref="AW77:AW86"/>
  </mergeCells>
  <phoneticPr fontId="2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af0aa304-566e-4750-b11e-22b9c06e3397" xsi:nil="true"/>
    <wpItemLocation xmlns="14bfd2bb-3d4a-4549-9197-f3410a8da64b">1f2345ff52cd45ad946ce18cf444a98c;4f10c4152bc44169865cb9aea2c0b633;3462;bc333dc250284a81867ff4f66c0034ee;28488;</wpItemLocation>
    <wpProjectManager xmlns="3d815d55-d4f1-4917-a2d6-8f3ac7defde3">
      <UserInfo>
        <DisplayName>Stefán Þór Kristinsson</DisplayName>
        <AccountId>42</AccountId>
        <AccountType/>
      </UserInfo>
    </wpProjectManager>
    <Signature xmlns="917c8f16-5bd7-42f2-8cfd-d3d3b3319cf0" xsi:nil="true"/>
    <wpProjectID xmlns="3d815d55-d4f1-4917-a2d6-8f3ac7defde3">109525</wpProjectID>
    <wp_tag xmlns="abbeec68-b05e-4e2e-88e5-2ac3e13fe809">Verkefnavinna</wp_tag>
    <wpFagsvid xmlns="a4877c8f-aa28-4df5-bd78-0dad7f29114f">411 Umhverfismál og vottanir</wpFagsvid>
    <wpProjectType xmlns="a4877c8f-aa28-4df5-bd78-0dad7f29114f">D</wpProjectType>
    <wpParent xmlns="a4877c8f-aa28-4df5-bd78-0dad7f29114f">Reykjavíkurborg</wpParent>
    <lcf76f155ced4ddcb4097134ff3c332f xmlns="a4877c8f-aa28-4df5-bd78-0dad7f29114f">
      <Terms xmlns="http://schemas.microsoft.com/office/infopath/2007/PartnerControls"/>
    </lcf76f155ced4ddcb4097134ff3c332f>
    <TaxCatchAll xmlns="9ff5ad6a-bcf4-4ff1-9d00-b0eadd97387e" xsi:nil="true"/>
    <Sign xmlns="917c8f16-5bd7-42f2-8cfd-d3d3b3319c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537F2DA6A22C4EBA65CFD051434B19" ma:contentTypeVersion="28" ma:contentTypeDescription="Create a new document." ma:contentTypeScope="" ma:versionID="1497638fba77ec67de9ea7390b6ccb1c">
  <xsd:schema xmlns:xsd="http://www.w3.org/2001/XMLSchema" xmlns:xs="http://www.w3.org/2001/XMLSchema" xmlns:p="http://schemas.microsoft.com/office/2006/metadata/properties" xmlns:ns2="14bfd2bb-3d4a-4549-9197-f3410a8da64b" xmlns:ns3="abbeec68-b05e-4e2e-88e5-2ac3e13fe809" xmlns:ns4="af0aa304-566e-4750-b11e-22b9c06e3397" xmlns:ns5="917c8f16-5bd7-42f2-8cfd-d3d3b3319cf0" xmlns:ns6="a4877c8f-aa28-4df5-bd78-0dad7f29114f" xmlns:ns7="3d815d55-d4f1-4917-a2d6-8f3ac7defde3" xmlns:ns8="9ff5ad6a-bcf4-4ff1-9d00-b0eadd97387e" targetNamespace="http://schemas.microsoft.com/office/2006/metadata/properties" ma:root="true" ma:fieldsID="42f068c75b49821367e3d8b541377585" ns2:_="" ns3:_="" ns4:_="" ns5:_="" ns6:_="" ns7:_="" ns8:_="">
    <xsd:import namespace="14bfd2bb-3d4a-4549-9197-f3410a8da64b"/>
    <xsd:import namespace="abbeec68-b05e-4e2e-88e5-2ac3e13fe809"/>
    <xsd:import namespace="af0aa304-566e-4750-b11e-22b9c06e3397"/>
    <xsd:import namespace="917c8f16-5bd7-42f2-8cfd-d3d3b3319cf0"/>
    <xsd:import namespace="a4877c8f-aa28-4df5-bd78-0dad7f29114f"/>
    <xsd:import namespace="3d815d55-d4f1-4917-a2d6-8f3ac7defde3"/>
    <xsd:import namespace="9ff5ad6a-bcf4-4ff1-9d00-b0eadd97387e"/>
    <xsd:element name="properties">
      <xsd:complexType>
        <xsd:sequence>
          <xsd:element name="documentManagement">
            <xsd:complexType>
              <xsd:all>
                <xsd:element ref="ns2:wpItemLocation" minOccurs="0"/>
                <xsd:element ref="ns3:wp_tag" minOccurs="0"/>
                <xsd:element ref="ns4:DocumentType" minOccurs="0"/>
                <xsd:element ref="ns5:Signature" minOccurs="0"/>
                <xsd:element ref="ns6:wpParent" minOccurs="0"/>
                <xsd:element ref="ns7:wpProjectID" minOccurs="0"/>
                <xsd:element ref="ns7:wpProjectManager" minOccurs="0"/>
                <xsd:element ref="ns6:wpProjectType" minOccurs="0"/>
                <xsd:element ref="ns6:wpFagsvid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ObjectDetectorVersions" minOccurs="0"/>
                <xsd:element ref="ns6:lcf76f155ced4ddcb4097134ff3c332f" minOccurs="0"/>
                <xsd:element ref="ns8:TaxCatchAll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5:Sig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5" nillable="true" ma:displayName="wpItemLocation" ma:default="1f2345ff52cd45ad946ce18cf444a98c;4f10c4152bc44169865cb9aea2c0b633;3462;bc333dc250284a81867ff4f66c0034ee;28488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6" nillable="true" ma:displayName="Stage tag" ma:default="Verkefnavinna" ma:internalName="wp_tag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aa304-566e-4750-b11e-22b9c06e3397" elementFormDefault="qualified">
    <xsd:import namespace="http://schemas.microsoft.com/office/2006/documentManagement/types"/>
    <xsd:import namespace="http://schemas.microsoft.com/office/infopath/2007/PartnerControls"/>
    <xsd:element name="DocumentType" ma:index="7" nillable="true" ma:displayName="Documenttype" ma:internalName="DocumentType" ma:readOnly="false">
      <xsd:simpleType>
        <xsd:restriction base="dms:Choice">
          <xsd:enumeration value="Technical"/>
          <xsd:enumeration value="Documentation"/>
          <xsd:enumeration value="Variou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c8f16-5bd7-42f2-8cfd-d3d3b3319cf0" elementFormDefault="qualified">
    <xsd:import namespace="http://schemas.microsoft.com/office/2006/documentManagement/types"/>
    <xsd:import namespace="http://schemas.microsoft.com/office/infopath/2007/PartnerControls"/>
    <xsd:element name="Signature" ma:index="8" nillable="true" ma:displayName="Signature" ma:internalName="Signature" ma:readOnly="false">
      <xsd:simpleType>
        <xsd:restriction base="dms:Text">
          <xsd:maxLength value="255"/>
        </xsd:restriction>
      </xsd:simpleType>
    </xsd:element>
    <xsd:element name="Sign" ma:index="28" nillable="true" ma:displayName="Sign" ma:format="Dropdown" ma:internalName="Sig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77c8f-aa28-4df5-bd78-0dad7f29114f" elementFormDefault="qualified">
    <xsd:import namespace="http://schemas.microsoft.com/office/2006/documentManagement/types"/>
    <xsd:import namespace="http://schemas.microsoft.com/office/infopath/2007/PartnerControls"/>
    <xsd:element name="wpParent" ma:index="9" nillable="true" ma:displayName="Customer" ma:default="Reykjavíkurborg" ma:internalName="wpParent" ma:readOnly="false">
      <xsd:simpleType>
        <xsd:restriction base="dms:Text"/>
      </xsd:simpleType>
    </xsd:element>
    <xsd:element name="wpProjectType" ma:index="12" nillable="true" ma:displayName="Project Category" ma:default="" ma:internalName="wpProjectType" ma:readOnly="false">
      <xsd:simpleType>
        <xsd:restriction base="dms:Text"/>
      </xsd:simpleType>
    </xsd:element>
    <xsd:element name="wpFagsvid" ma:index="13" nillable="true" ma:displayName="Service Divison" ma:default="" ma:internalName="wpFagsvid" ma:readOnly="false">
      <xsd:simpleType>
        <xsd:restriction base="dms:Text"/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8edf6cd-2fb1-4067-a51f-1084b44d13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ProjectID" ma:index="10" nillable="true" ma:displayName="Project ID" ma:default="109525" ma:indexed="true" ma:internalName="wpProjectID" ma:readOnly="false">
      <xsd:simpleType>
        <xsd:restriction base="dms:Text"/>
      </xsd:simpleType>
    </xsd:element>
    <xsd:element name="wpProjectManager" ma:index="11" nillable="true" ma:displayName="Project Manager" ma:default="" ma:indexed="true" ma:SharePointGroup="0" ma:internalName="wpProje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5ad6a-bcf4-4ff1-9d00-b0eadd9738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0932ad9-5c2d-41c0-85f6-7f192b2e0533}" ma:internalName="TaxCatchAll" ma:showField="CatchAllData" ma:web="9ff5ad6a-bcf4-4ff1-9d00-b0eadd9738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E2D007-6FCC-4EA3-A6B7-722091C73ABA}">
  <ds:schemaRefs>
    <ds:schemaRef ds:uri="14bfd2bb-3d4a-4549-9197-f3410a8da64b"/>
    <ds:schemaRef ds:uri="a4877c8f-aa28-4df5-bd78-0dad7f29114f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abbeec68-b05e-4e2e-88e5-2ac3e13fe809"/>
    <ds:schemaRef ds:uri="http://schemas.microsoft.com/office/2006/documentManagement/types"/>
    <ds:schemaRef ds:uri="9ff5ad6a-bcf4-4ff1-9d00-b0eadd97387e"/>
    <ds:schemaRef ds:uri="3d815d55-d4f1-4917-a2d6-8f3ac7defde3"/>
    <ds:schemaRef ds:uri="917c8f16-5bd7-42f2-8cfd-d3d3b3319cf0"/>
    <ds:schemaRef ds:uri="af0aa304-566e-4750-b11e-22b9c06e339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9692361-2EB0-4155-AC05-5148D0C13D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bfd2bb-3d4a-4549-9197-f3410a8da64b"/>
    <ds:schemaRef ds:uri="abbeec68-b05e-4e2e-88e5-2ac3e13fe809"/>
    <ds:schemaRef ds:uri="af0aa304-566e-4750-b11e-22b9c06e3397"/>
    <ds:schemaRef ds:uri="917c8f16-5bd7-42f2-8cfd-d3d3b3319cf0"/>
    <ds:schemaRef ds:uri="a4877c8f-aa28-4df5-bd78-0dad7f29114f"/>
    <ds:schemaRef ds:uri="3d815d55-d4f1-4917-a2d6-8f3ac7defde3"/>
    <ds:schemaRef ds:uri="9ff5ad6a-bcf4-4ff1-9d00-b0eadd9738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37BD58-6633-432A-8939-0F763F7A9E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Almennir losunarliðir</vt:lpstr>
      <vt:lpstr>Mælaborð</vt:lpstr>
      <vt:lpstr>Dashboard</vt:lpstr>
      <vt:lpstr>Reykjavík</vt:lpstr>
      <vt:lpstr>Byggingariðnaður</vt:lpstr>
      <vt:lpstr>Orka</vt:lpstr>
      <vt:lpstr>Umferð</vt:lpstr>
      <vt:lpstr>Götuumferð</vt:lpstr>
      <vt:lpstr>Flug</vt:lpstr>
      <vt:lpstr>Skip</vt:lpstr>
      <vt:lpstr>Úrgangur</vt:lpstr>
      <vt:lpstr>Álfsnes - Urðun</vt:lpstr>
      <vt:lpstr>Fráveita</vt:lpstr>
      <vt:lpstr>Landbúnaður og landnotkun</vt:lpstr>
      <vt:lpstr>Breytingar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stefan.thor.kristinsson@efla.is</dc:creator>
  <cp:keywords/>
  <dc:description/>
  <cp:lastModifiedBy>Stefán Þór Kristinsson</cp:lastModifiedBy>
  <cp:revision/>
  <cp:lastPrinted>2024-10-01T16:34:13Z</cp:lastPrinted>
  <dcterms:created xsi:type="dcterms:W3CDTF">2020-03-13T16:40:21Z</dcterms:created>
  <dcterms:modified xsi:type="dcterms:W3CDTF">2024-10-17T15:56:48Z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0x0101001A537F2DA6A22C4EBA65CFD051434B19</vt:lpwstr>
  </property>
  <property fmtid="{D5CDD505-2E9C-101B-9397-08002B2CF9AE}" pid="3" name="Order">
    <vt:r8>3600</vt:r8>
  </property>
  <property fmtid="{D5CDD505-2E9C-101B-9397-08002B2CF9AE}" pid="4" name="MediaServiceImageTags">
    <vt:lpwstr/>
  </property>
</Properties>
</file>