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7.xml" ContentType="application/vnd.openxmlformats-officedocument.drawing+xml"/>
  <Override PartName="/xl/charts/chart32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://wp.efla.is/sites/101/project20944/Documents/74 Umhverfi/"/>
    </mc:Choice>
  </mc:AlternateContent>
  <xr:revisionPtr revIDLastSave="0" documentId="8_{5E7122A4-CAE1-438E-9AFD-A0B9ABD7D0C5}" xr6:coauthVersionLast="45" xr6:coauthVersionMax="45" xr10:uidLastSave="{00000000-0000-0000-0000-000000000000}"/>
  <workbookProtection workbookAlgorithmName="SHA-512" workbookHashValue="lhxWh3zKXc3LBT22mF0ax03q0YvVTHPfiySkPQeoX0ujTBkAWto/ECvDOn84qoyeIeBNV2oSoUpT85UaL9HLiw==" workbookSaltValue="mDzlScgtRvSm9bWNpfHjaQ==" workbookSpinCount="100000" lockStructure="1"/>
  <bookViews>
    <workbookView xWindow="-40" yWindow="-40" windowWidth="19280" windowHeight="9665" firstSheet="1" activeTab="1" xr2:uid="{648F3772-3ED4-4D0C-99A1-2DA421EB7F2F}"/>
  </bookViews>
  <sheets>
    <sheet name="Almennir losunarliðir" sheetId="4" state="hidden" r:id="rId1"/>
    <sheet name="Mælaborð" sheetId="2" r:id="rId2"/>
    <sheet name="Reykjavík" sheetId="3" state="hidden" r:id="rId3"/>
    <sheet name="Orka" sheetId="9" state="hidden" r:id="rId4"/>
    <sheet name="Umferð" sheetId="10" state="hidden" r:id="rId5"/>
    <sheet name="Götuumferð" sheetId="15" state="hidden" r:id="rId6"/>
    <sheet name="Skip" sheetId="12" state="hidden" r:id="rId7"/>
    <sheet name="Flug" sheetId="11" state="hidden" r:id="rId8"/>
    <sheet name="Úrgangur" sheetId="16" state="hidden" r:id="rId9"/>
    <sheet name="Fráveita" sheetId="17" state="hidden" r:id="rId10"/>
    <sheet name="Landbúnaður og landnotkun" sheetId="13" state="hidden" r:id="rId11"/>
    <sheet name="Breytingar" sheetId="18" state="hidden" r:id="rId12"/>
  </sheets>
  <definedNames>
    <definedName name="_xlchart.v1.0" hidden="1">Reykjavík!$A$164:$A$178</definedName>
    <definedName name="_xlchart.v1.1" hidden="1">Reykjavík!$J$164:$J$178</definedName>
  </definedNames>
  <calcPr calcId="191029" iterate="1" iterateCount="1" calcOnSave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7" i="13" l="1"/>
  <c r="BC43" i="11"/>
  <c r="H27" i="9"/>
  <c r="M16" i="9"/>
  <c r="M17" i="9"/>
  <c r="L15" i="9"/>
  <c r="J106" i="3"/>
  <c r="J137" i="3"/>
  <c r="D137" i="3"/>
  <c r="E137" i="3"/>
  <c r="F137" i="3"/>
  <c r="G137" i="3"/>
  <c r="H137" i="3"/>
  <c r="C137" i="3"/>
  <c r="C133" i="3"/>
  <c r="C136" i="3"/>
  <c r="C139" i="3"/>
  <c r="C140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FE26" i="15" l="1"/>
  <c r="FD26" i="15"/>
  <c r="FC26" i="15"/>
  <c r="FH14" i="15"/>
  <c r="FI14" i="15"/>
  <c r="FJ14" i="15"/>
  <c r="FH15" i="15"/>
  <c r="FI15" i="15"/>
  <c r="FJ15" i="15"/>
  <c r="FH16" i="15"/>
  <c r="FI16" i="15"/>
  <c r="FJ16" i="15"/>
  <c r="FH17" i="15"/>
  <c r="FI17" i="15"/>
  <c r="FJ17" i="15"/>
  <c r="FH18" i="15"/>
  <c r="FI18" i="15"/>
  <c r="FJ18" i="15"/>
  <c r="FH19" i="15"/>
  <c r="FI19" i="15"/>
  <c r="FJ19" i="15"/>
  <c r="FH21" i="15"/>
  <c r="FI21" i="15"/>
  <c r="FJ21" i="15"/>
  <c r="FH22" i="15"/>
  <c r="FI22" i="15"/>
  <c r="FJ22" i="15"/>
  <c r="FH23" i="15"/>
  <c r="FI23" i="15"/>
  <c r="FJ23" i="15"/>
  <c r="FH24" i="15"/>
  <c r="FI24" i="15"/>
  <c r="FJ24" i="15"/>
  <c r="FI13" i="15"/>
  <c r="FJ13" i="15"/>
  <c r="FH13" i="15"/>
  <c r="FH9" i="15"/>
  <c r="FC13" i="15"/>
  <c r="C121" i="3"/>
  <c r="D124" i="3"/>
  <c r="AK9" i="15" l="1"/>
  <c r="AL9" i="15"/>
  <c r="X76" i="10"/>
  <c r="AW34" i="15"/>
  <c r="AW35" i="15"/>
  <c r="AW33" i="15"/>
  <c r="AV36" i="15"/>
  <c r="AV35" i="15"/>
  <c r="AV34" i="15"/>
  <c r="AV33" i="15"/>
  <c r="U9" i="3"/>
  <c r="U10" i="3"/>
  <c r="U11" i="3"/>
  <c r="U12" i="3"/>
  <c r="U8" i="3"/>
  <c r="T13" i="3"/>
  <c r="H100" i="3" l="1"/>
  <c r="H79" i="3"/>
  <c r="H43" i="17"/>
  <c r="H42" i="17"/>
  <c r="H40" i="17"/>
  <c r="AM13" i="16"/>
  <c r="AM12" i="16"/>
  <c r="AM11" i="16"/>
  <c r="AK10" i="16"/>
  <c r="AK11" i="16"/>
  <c r="AK12" i="16"/>
  <c r="AK13" i="16"/>
  <c r="AK15" i="16"/>
  <c r="H93" i="3"/>
  <c r="H95" i="3"/>
  <c r="H96" i="3" s="1"/>
  <c r="AM15" i="16" l="1"/>
  <c r="AM16" i="16" s="1"/>
  <c r="AZ69" i="11" l="1"/>
  <c r="AZ70" i="11" s="1"/>
  <c r="AX72" i="11"/>
  <c r="AX71" i="11"/>
  <c r="AX70" i="11"/>
  <c r="AX69" i="11"/>
  <c r="BA65" i="11"/>
  <c r="BA62" i="11"/>
  <c r="BS12" i="11"/>
  <c r="BS13" i="11"/>
  <c r="AY64" i="11"/>
  <c r="AY63" i="11"/>
  <c r="AY62" i="11"/>
  <c r="AF75" i="12"/>
  <c r="AE75" i="12"/>
  <c r="AG73" i="12"/>
  <c r="BB33" i="15"/>
  <c r="BC33" i="15"/>
  <c r="BD33" i="15"/>
  <c r="BE33" i="15"/>
  <c r="BB34" i="15"/>
  <c r="BC34" i="15"/>
  <c r="BD34" i="15"/>
  <c r="BE34" i="15"/>
  <c r="BB35" i="15"/>
  <c r="BC35" i="15"/>
  <c r="BD35" i="15"/>
  <c r="BE35" i="15"/>
  <c r="BB36" i="15"/>
  <c r="BC36" i="15"/>
  <c r="BD36" i="15"/>
  <c r="BE36" i="15"/>
  <c r="BB37" i="15"/>
  <c r="BC37" i="15"/>
  <c r="BD37" i="15"/>
  <c r="BE37" i="15"/>
  <c r="BB38" i="15"/>
  <c r="BC38" i="15"/>
  <c r="BD38" i="15"/>
  <c r="BE38" i="15"/>
  <c r="BA38" i="15"/>
  <c r="BA37" i="15"/>
  <c r="BA36" i="15"/>
  <c r="BA35" i="15"/>
  <c r="BA34" i="15"/>
  <c r="BA33" i="15"/>
  <c r="M15" i="9"/>
  <c r="BQ67" i="11"/>
  <c r="AZ22" i="15"/>
  <c r="AY22" i="15"/>
  <c r="AZ21" i="15"/>
  <c r="AY21" i="15"/>
  <c r="AZ20" i="15"/>
  <c r="AY20" i="15"/>
  <c r="AZ19" i="15"/>
  <c r="AY19" i="15"/>
  <c r="AY11" i="15"/>
  <c r="AZ17" i="15"/>
  <c r="AY17" i="15"/>
  <c r="AZ16" i="15"/>
  <c r="AY16" i="15"/>
  <c r="AW16" i="15"/>
  <c r="AW17" i="15"/>
  <c r="AZ15" i="15"/>
  <c r="AY15" i="15"/>
  <c r="AZ14" i="15"/>
  <c r="AY14" i="15"/>
  <c r="AW11" i="15"/>
  <c r="B30" i="2"/>
  <c r="B32" i="2"/>
  <c r="H23" i="3"/>
  <c r="B13" i="2" s="1"/>
  <c r="E11" i="2" s="1"/>
  <c r="G23" i="3"/>
  <c r="F23" i="3"/>
  <c r="L17" i="9"/>
  <c r="L16" i="9"/>
  <c r="F15" i="9"/>
  <c r="I15" i="9"/>
  <c r="J15" i="9"/>
  <c r="BA69" i="11" l="1"/>
  <c r="BB69" i="11" s="1"/>
  <c r="H99" i="3" l="1"/>
  <c r="H98" i="3"/>
  <c r="H97" i="3"/>
  <c r="B31" i="2"/>
  <c r="F95" i="3"/>
  <c r="F96" i="3" s="1"/>
  <c r="G72" i="3"/>
  <c r="G71" i="3"/>
  <c r="H74" i="3"/>
  <c r="E29" i="2" l="1"/>
  <c r="B29" i="2"/>
  <c r="C29" i="2" s="1"/>
  <c r="J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B175" i="3"/>
  <c r="C175" i="3"/>
  <c r="B176" i="3"/>
  <c r="C176" i="3"/>
  <c r="B177" i="3"/>
  <c r="C177" i="3"/>
  <c r="B178" i="3"/>
  <c r="C178" i="3"/>
  <c r="A178" i="3"/>
  <c r="A177" i="3"/>
  <c r="A176" i="3"/>
  <c r="A174" i="3"/>
  <c r="A175" i="3"/>
  <c r="A171" i="3"/>
  <c r="A172" i="3"/>
  <c r="A173" i="3"/>
  <c r="A170" i="3"/>
  <c r="A166" i="3"/>
  <c r="A167" i="3"/>
  <c r="A168" i="3"/>
  <c r="A169" i="3"/>
  <c r="A165" i="3"/>
  <c r="A164" i="3"/>
  <c r="N108" i="3" l="1"/>
  <c r="M108" i="3"/>
  <c r="N102" i="3"/>
  <c r="M102" i="3"/>
  <c r="J132" i="3"/>
  <c r="C114" i="3"/>
  <c r="C115" i="3"/>
  <c r="G95" i="3"/>
  <c r="G96" i="3" s="1"/>
  <c r="E95" i="3"/>
  <c r="E96" i="3" s="1"/>
  <c r="D95" i="3"/>
  <c r="D96" i="3" s="1"/>
  <c r="C95" i="3"/>
  <c r="C96" i="3" s="1"/>
  <c r="C93" i="3" s="1"/>
  <c r="C122" i="3" s="1"/>
  <c r="C174" i="3" s="1"/>
  <c r="H122" i="3" l="1"/>
  <c r="D93" i="3"/>
  <c r="E93" i="3"/>
  <c r="F93" i="3"/>
  <c r="G93" i="3"/>
  <c r="H174" i="3" l="1"/>
  <c r="D122" i="3"/>
  <c r="E122" i="3"/>
  <c r="G122" i="3"/>
  <c r="F122" i="3"/>
  <c r="J122" i="3"/>
  <c r="J174" i="3" s="1"/>
  <c r="E174" i="3" l="1"/>
  <c r="G174" i="3"/>
  <c r="D174" i="3"/>
  <c r="F174" i="3"/>
  <c r="F43" i="3"/>
  <c r="G43" i="3"/>
  <c r="D43" i="3"/>
  <c r="E43" i="3"/>
  <c r="C43" i="3"/>
  <c r="H43" i="3"/>
  <c r="B22" i="2" s="1"/>
  <c r="AK9" i="16"/>
  <c r="D74" i="16"/>
  <c r="H84" i="3"/>
  <c r="H86" i="3"/>
  <c r="H88" i="3"/>
  <c r="C71" i="3"/>
  <c r="C72" i="3" s="1"/>
  <c r="D71" i="3"/>
  <c r="D72" i="3" s="1"/>
  <c r="E71" i="3"/>
  <c r="E72" i="3" s="1"/>
  <c r="F71" i="3"/>
  <c r="F72" i="3" s="1"/>
  <c r="H78" i="3"/>
  <c r="H76" i="3" s="1"/>
  <c r="G78" i="3"/>
  <c r="G76" i="3" s="1"/>
  <c r="F78" i="3"/>
  <c r="F76" i="3" s="1"/>
  <c r="E78" i="3"/>
  <c r="E76" i="3" s="1"/>
  <c r="D78" i="3"/>
  <c r="D76" i="3" s="1"/>
  <c r="C78" i="3"/>
  <c r="C76" i="3" s="1"/>
  <c r="E50" i="3"/>
  <c r="L23" i="17"/>
  <c r="D42" i="17"/>
  <c r="D43" i="17" s="1"/>
  <c r="D50" i="3" s="1"/>
  <c r="E42" i="17"/>
  <c r="E43" i="17" s="1"/>
  <c r="F42" i="17"/>
  <c r="F43" i="17" s="1"/>
  <c r="F50" i="3" s="1"/>
  <c r="G42" i="17"/>
  <c r="G43" i="17" s="1"/>
  <c r="G50" i="3" s="1"/>
  <c r="C42" i="17"/>
  <c r="C43" i="17" s="1"/>
  <c r="C50" i="3" s="1"/>
  <c r="C41" i="17" l="1"/>
  <c r="D15" i="17"/>
  <c r="D20" i="17" s="1"/>
  <c r="D33" i="17" s="1"/>
  <c r="E15" i="17"/>
  <c r="E20" i="17" s="1"/>
  <c r="E33" i="17" s="1"/>
  <c r="F15" i="17"/>
  <c r="F20" i="17" s="1"/>
  <c r="F33" i="17" s="1"/>
  <c r="G15" i="17"/>
  <c r="G20" i="17" s="1"/>
  <c r="G33" i="17" s="1"/>
  <c r="H15" i="17"/>
  <c r="C15" i="17"/>
  <c r="C20" i="17" s="1"/>
  <c r="C33" i="17" s="1"/>
  <c r="H20" i="17" l="1"/>
  <c r="H33" i="17" s="1"/>
  <c r="D41" i="17"/>
  <c r="E41" i="17"/>
  <c r="H41" i="17" s="1"/>
  <c r="H50" i="3" s="1"/>
  <c r="F41" i="17"/>
  <c r="G41" i="17"/>
  <c r="O135" i="3" l="1"/>
  <c r="J102" i="3"/>
  <c r="E45" i="3"/>
  <c r="F45" i="3"/>
  <c r="G45" i="3"/>
  <c r="H45" i="3"/>
  <c r="D45" i="3"/>
  <c r="G40" i="3"/>
  <c r="F40" i="3"/>
  <c r="E40" i="3"/>
  <c r="C40" i="3"/>
  <c r="AF6" i="16"/>
  <c r="AD6" i="16"/>
  <c r="AD5" i="16"/>
  <c r="D22" i="16"/>
  <c r="AG9" i="16" s="1"/>
  <c r="D48" i="16"/>
  <c r="H49" i="16"/>
  <c r="D61" i="16"/>
  <c r="J74" i="16"/>
  <c r="C74" i="16"/>
  <c r="J73" i="16"/>
  <c r="H73" i="16"/>
  <c r="E73" i="16"/>
  <c r="J72" i="16"/>
  <c r="H72" i="16"/>
  <c r="E72" i="16"/>
  <c r="J71" i="16"/>
  <c r="H71" i="16"/>
  <c r="E71" i="16"/>
  <c r="J70" i="16"/>
  <c r="H70" i="16"/>
  <c r="E70" i="16"/>
  <c r="J69" i="16"/>
  <c r="H69" i="16"/>
  <c r="E69" i="16"/>
  <c r="J68" i="16"/>
  <c r="H68" i="16"/>
  <c r="E68" i="16"/>
  <c r="J67" i="16"/>
  <c r="H67" i="16"/>
  <c r="E67" i="16"/>
  <c r="J66" i="16"/>
  <c r="H66" i="16"/>
  <c r="E66" i="16"/>
  <c r="J65" i="16"/>
  <c r="H65" i="16"/>
  <c r="E65" i="16"/>
  <c r="J64" i="16"/>
  <c r="H64" i="16"/>
  <c r="E64" i="16"/>
  <c r="J63" i="16"/>
  <c r="H63" i="16"/>
  <c r="E63" i="16"/>
  <c r="J62" i="16"/>
  <c r="H62" i="16"/>
  <c r="E62" i="16"/>
  <c r="AE5" i="16" l="1"/>
  <c r="D40" i="3"/>
  <c r="H40" i="3"/>
  <c r="E74" i="16"/>
  <c r="AJ5" i="16" l="1"/>
  <c r="AI10" i="16"/>
  <c r="AJ6" i="16"/>
  <c r="AF5" i="16"/>
  <c r="H41" i="3" l="1"/>
  <c r="B20" i="2" s="1"/>
  <c r="AI11" i="16"/>
  <c r="AI12" i="16"/>
  <c r="AI13" i="16" l="1"/>
  <c r="F41" i="3"/>
  <c r="P25" i="16" l="1"/>
  <c r="O25" i="16"/>
  <c r="N25" i="16"/>
  <c r="M24" i="16"/>
  <c r="M23" i="16"/>
  <c r="M25" i="16" s="1"/>
  <c r="P13" i="17"/>
  <c r="O13" i="17"/>
  <c r="N13" i="17"/>
  <c r="P12" i="17"/>
  <c r="O12" i="17"/>
  <c r="N12" i="17"/>
  <c r="S26" i="16" l="1"/>
  <c r="S12" i="16"/>
  <c r="S11" i="16"/>
  <c r="J61" i="16" l="1"/>
  <c r="C61" i="16"/>
  <c r="H74" i="16" s="1"/>
  <c r="J60" i="16"/>
  <c r="H60" i="16"/>
  <c r="E60" i="16"/>
  <c r="I73" i="16" s="1"/>
  <c r="J59" i="16"/>
  <c r="H59" i="16"/>
  <c r="E59" i="16"/>
  <c r="J58" i="16"/>
  <c r="H58" i="16"/>
  <c r="E58" i="16"/>
  <c r="I71" i="16" s="1"/>
  <c r="J57" i="16"/>
  <c r="H57" i="16"/>
  <c r="E57" i="16"/>
  <c r="I70" i="16" s="1"/>
  <c r="J56" i="16"/>
  <c r="H56" i="16"/>
  <c r="E56" i="16"/>
  <c r="I69" i="16" s="1"/>
  <c r="S55" i="16"/>
  <c r="J55" i="16"/>
  <c r="H55" i="16"/>
  <c r="E55" i="16"/>
  <c r="S54" i="16"/>
  <c r="J54" i="16"/>
  <c r="H54" i="16"/>
  <c r="E54" i="16"/>
  <c r="I67" i="16" s="1"/>
  <c r="S53" i="16"/>
  <c r="J53" i="16"/>
  <c r="H53" i="16"/>
  <c r="E53" i="16"/>
  <c r="I66" i="16" s="1"/>
  <c r="S52" i="16"/>
  <c r="J52" i="16"/>
  <c r="H52" i="16"/>
  <c r="E52" i="16"/>
  <c r="I65" i="16" s="1"/>
  <c r="S51" i="16"/>
  <c r="J51" i="16"/>
  <c r="H51" i="16"/>
  <c r="E51" i="16"/>
  <c r="I64" i="16" s="1"/>
  <c r="S50" i="16"/>
  <c r="J50" i="16"/>
  <c r="H50" i="16"/>
  <c r="E50" i="16"/>
  <c r="I63" i="16" s="1"/>
  <c r="S49" i="16"/>
  <c r="J49" i="16"/>
  <c r="E49" i="16"/>
  <c r="I62" i="16" s="1"/>
  <c r="S48" i="16"/>
  <c r="J48" i="16"/>
  <c r="C48" i="16"/>
  <c r="S47" i="16"/>
  <c r="J47" i="16"/>
  <c r="H47" i="16"/>
  <c r="E47" i="16"/>
  <c r="I60" i="16" s="1"/>
  <c r="S46" i="16"/>
  <c r="J46" i="16"/>
  <c r="H46" i="16"/>
  <c r="E46" i="16"/>
  <c r="S45" i="16"/>
  <c r="J45" i="16"/>
  <c r="H45" i="16"/>
  <c r="E45" i="16"/>
  <c r="S44" i="16"/>
  <c r="J44" i="16"/>
  <c r="H44" i="16"/>
  <c r="E44" i="16"/>
  <c r="S43" i="16"/>
  <c r="J43" i="16"/>
  <c r="H43" i="16"/>
  <c r="E43" i="16"/>
  <c r="S42" i="16"/>
  <c r="J42" i="16"/>
  <c r="H42" i="16"/>
  <c r="E42" i="16"/>
  <c r="E48" i="16" s="1"/>
  <c r="S41" i="16"/>
  <c r="J41" i="16"/>
  <c r="H41" i="16"/>
  <c r="E41" i="16"/>
  <c r="S40" i="16"/>
  <c r="J40" i="16"/>
  <c r="H40" i="16"/>
  <c r="E40" i="16"/>
  <c r="S39" i="16"/>
  <c r="J39" i="16"/>
  <c r="H39" i="16"/>
  <c r="E39" i="16"/>
  <c r="I52" i="16" s="1"/>
  <c r="S38" i="16"/>
  <c r="J38" i="16"/>
  <c r="H38" i="16"/>
  <c r="E38" i="16"/>
  <c r="S37" i="16"/>
  <c r="J37" i="16"/>
  <c r="H37" i="16"/>
  <c r="E37" i="16"/>
  <c r="I50" i="16" s="1"/>
  <c r="S36" i="16"/>
  <c r="J36" i="16"/>
  <c r="H36" i="16"/>
  <c r="E36" i="16"/>
  <c r="S35" i="16"/>
  <c r="J35" i="16"/>
  <c r="C35" i="16"/>
  <c r="S34" i="16"/>
  <c r="J34" i="16"/>
  <c r="H34" i="16"/>
  <c r="E34" i="16"/>
  <c r="S33" i="16"/>
  <c r="J33" i="16"/>
  <c r="H33" i="16"/>
  <c r="E33" i="16"/>
  <c r="S32" i="16"/>
  <c r="J32" i="16"/>
  <c r="H32" i="16"/>
  <c r="E32" i="16"/>
  <c r="S31" i="16"/>
  <c r="J31" i="16"/>
  <c r="H31" i="16"/>
  <c r="E31" i="16"/>
  <c r="S30" i="16"/>
  <c r="J30" i="16"/>
  <c r="H30" i="16"/>
  <c r="E30" i="16"/>
  <c r="S29" i="16"/>
  <c r="J29" i="16"/>
  <c r="H29" i="16"/>
  <c r="E29" i="16"/>
  <c r="S28" i="16"/>
  <c r="J28" i="16"/>
  <c r="H28" i="16"/>
  <c r="E28" i="16"/>
  <c r="S27" i="16"/>
  <c r="J27" i="16"/>
  <c r="H27" i="16"/>
  <c r="E27" i="16"/>
  <c r="J26" i="16"/>
  <c r="H26" i="16"/>
  <c r="E26" i="16"/>
  <c r="S25" i="16"/>
  <c r="J25" i="16"/>
  <c r="H25" i="16"/>
  <c r="E25" i="16"/>
  <c r="S24" i="16"/>
  <c r="J24" i="16"/>
  <c r="H24" i="16"/>
  <c r="E24" i="16"/>
  <c r="S23" i="16"/>
  <c r="J23" i="16"/>
  <c r="H23" i="16"/>
  <c r="E23" i="16"/>
  <c r="S22" i="16"/>
  <c r="C22" i="16"/>
  <c r="S21" i="16"/>
  <c r="E21" i="16"/>
  <c r="S20" i="16"/>
  <c r="E20" i="16"/>
  <c r="I33" i="16" s="1"/>
  <c r="S19" i="16"/>
  <c r="E19" i="16"/>
  <c r="S18" i="16"/>
  <c r="E18" i="16"/>
  <c r="S17" i="16"/>
  <c r="E17" i="16"/>
  <c r="E22" i="16" s="1"/>
  <c r="S16" i="16"/>
  <c r="E16" i="16"/>
  <c r="S15" i="16"/>
  <c r="E15" i="16"/>
  <c r="S14" i="16"/>
  <c r="E14" i="16"/>
  <c r="S13" i="16"/>
  <c r="E13" i="16"/>
  <c r="E12" i="16"/>
  <c r="E11" i="16"/>
  <c r="E10" i="16"/>
  <c r="R9" i="16"/>
  <c r="R12" i="16" s="1"/>
  <c r="R13" i="16" s="1"/>
  <c r="R14" i="16" s="1"/>
  <c r="R15" i="16" s="1"/>
  <c r="R16" i="16" s="1"/>
  <c r="R17" i="16" s="1"/>
  <c r="R18" i="16" s="1"/>
  <c r="R19" i="16" s="1"/>
  <c r="R20" i="16" s="1"/>
  <c r="R21" i="16" s="1"/>
  <c r="R22" i="16" s="1"/>
  <c r="R23" i="16" s="1"/>
  <c r="R24" i="16" s="1"/>
  <c r="R25" i="16" s="1"/>
  <c r="R26" i="16" s="1"/>
  <c r="R27" i="16" s="1"/>
  <c r="R28" i="16" s="1"/>
  <c r="R29" i="16" s="1"/>
  <c r="R30" i="16" s="1"/>
  <c r="R31" i="16" s="1"/>
  <c r="R32" i="16" s="1"/>
  <c r="R33" i="16" s="1"/>
  <c r="R34" i="16" s="1"/>
  <c r="R35" i="16" s="1"/>
  <c r="R36" i="16" s="1"/>
  <c r="R37" i="16" s="1"/>
  <c r="R38" i="16" s="1"/>
  <c r="R39" i="16" s="1"/>
  <c r="R40" i="16" s="1"/>
  <c r="R41" i="16" s="1"/>
  <c r="R42" i="16" s="1"/>
  <c r="R43" i="16" s="1"/>
  <c r="R44" i="16" s="1"/>
  <c r="R45" i="16" s="1"/>
  <c r="R46" i="16" s="1"/>
  <c r="R47" i="16" s="1"/>
  <c r="R48" i="16" s="1"/>
  <c r="R49" i="16" s="1"/>
  <c r="R50" i="16" s="1"/>
  <c r="R51" i="16" s="1"/>
  <c r="R52" i="16" s="1"/>
  <c r="R53" i="16" s="1"/>
  <c r="R54" i="16" s="1"/>
  <c r="R55" i="16" s="1"/>
  <c r="S82" i="10"/>
  <c r="Y17" i="13"/>
  <c r="F84" i="13" s="1"/>
  <c r="Y16" i="13"/>
  <c r="Y19" i="13"/>
  <c r="C79" i="13"/>
  <c r="C80" i="13"/>
  <c r="C81" i="13" s="1"/>
  <c r="D80" i="13"/>
  <c r="D79" i="13"/>
  <c r="E79" i="13" s="1"/>
  <c r="D62" i="13"/>
  <c r="D63" i="13"/>
  <c r="E63" i="13" s="1"/>
  <c r="C63" i="13"/>
  <c r="C64" i="13" s="1"/>
  <c r="C62" i="13"/>
  <c r="D46" i="13"/>
  <c r="E46" i="13" s="1"/>
  <c r="D45" i="13"/>
  <c r="D47" i="13" s="1"/>
  <c r="I47" i="13" s="1"/>
  <c r="C46" i="13"/>
  <c r="C45" i="13"/>
  <c r="D28" i="13"/>
  <c r="D29" i="13"/>
  <c r="C29" i="13"/>
  <c r="C30" i="13" s="1"/>
  <c r="C28" i="13"/>
  <c r="C12" i="13"/>
  <c r="C11" i="13"/>
  <c r="C13" i="13" s="1"/>
  <c r="D12" i="13"/>
  <c r="E12" i="13" s="1"/>
  <c r="D11" i="13"/>
  <c r="K88" i="13"/>
  <c r="H57" i="3"/>
  <c r="G57" i="3"/>
  <c r="F57" i="3"/>
  <c r="E57" i="3"/>
  <c r="D57" i="3"/>
  <c r="E56" i="3"/>
  <c r="F56" i="3"/>
  <c r="G56" i="3"/>
  <c r="H56" i="3"/>
  <c r="H55" i="3" s="1"/>
  <c r="B28" i="2" s="1"/>
  <c r="D56" i="3"/>
  <c r="K92" i="13"/>
  <c r="K91" i="13"/>
  <c r="K90" i="13"/>
  <c r="K75" i="13"/>
  <c r="K74" i="13"/>
  <c r="K73" i="13"/>
  <c r="K58" i="13"/>
  <c r="K57" i="13"/>
  <c r="K56" i="13"/>
  <c r="E77" i="13"/>
  <c r="E92" i="13"/>
  <c r="E91" i="13"/>
  <c r="E90" i="13"/>
  <c r="E88" i="13"/>
  <c r="E87" i="13"/>
  <c r="F86" i="13"/>
  <c r="G86" i="13" s="1"/>
  <c r="E86" i="13"/>
  <c r="E84" i="13"/>
  <c r="G84" i="13" s="1"/>
  <c r="E83" i="13"/>
  <c r="E82" i="13"/>
  <c r="E85" i="13" s="1"/>
  <c r="E78" i="13"/>
  <c r="E75" i="13"/>
  <c r="E74" i="13"/>
  <c r="E73" i="13"/>
  <c r="E71" i="13"/>
  <c r="E70" i="13"/>
  <c r="F69" i="13"/>
  <c r="E69" i="13"/>
  <c r="E72" i="13" s="1"/>
  <c r="E67" i="13"/>
  <c r="E66" i="13"/>
  <c r="E65" i="13"/>
  <c r="E62" i="13"/>
  <c r="E61" i="13"/>
  <c r="E60" i="13"/>
  <c r="E58" i="13"/>
  <c r="E57" i="13"/>
  <c r="E56" i="13"/>
  <c r="E54" i="13"/>
  <c r="E53" i="13"/>
  <c r="F52" i="13"/>
  <c r="G52" i="13" s="1"/>
  <c r="E52" i="13"/>
  <c r="E50" i="13"/>
  <c r="E49" i="13"/>
  <c r="E48" i="13"/>
  <c r="E44" i="13"/>
  <c r="E43" i="13"/>
  <c r="E24" i="13"/>
  <c r="E23" i="13"/>
  <c r="E22" i="13"/>
  <c r="E20" i="13"/>
  <c r="E19" i="13"/>
  <c r="F18" i="13"/>
  <c r="G18" i="13" s="1"/>
  <c r="E18" i="13"/>
  <c r="E16" i="13"/>
  <c r="E15" i="13"/>
  <c r="E14" i="13"/>
  <c r="E11" i="13"/>
  <c r="E10" i="13"/>
  <c r="E9" i="13"/>
  <c r="K41" i="13"/>
  <c r="K40" i="13"/>
  <c r="K39" i="13"/>
  <c r="Y40" i="13"/>
  <c r="E41" i="13"/>
  <c r="E40" i="13"/>
  <c r="E39" i="13"/>
  <c r="E37" i="13"/>
  <c r="E36" i="13"/>
  <c r="F35" i="13"/>
  <c r="E35" i="13"/>
  <c r="E33" i="13"/>
  <c r="E32" i="13"/>
  <c r="E31" i="13"/>
  <c r="E27" i="13"/>
  <c r="E26" i="13"/>
  <c r="E28" i="13"/>
  <c r="P50" i="13"/>
  <c r="P49" i="13"/>
  <c r="D68" i="13"/>
  <c r="C68" i="13"/>
  <c r="D51" i="13"/>
  <c r="C51" i="13"/>
  <c r="D34" i="13"/>
  <c r="C34" i="13"/>
  <c r="D17" i="13"/>
  <c r="C17" i="13"/>
  <c r="D85" i="13"/>
  <c r="K85" i="13" s="1"/>
  <c r="C85" i="13"/>
  <c r="D89" i="13"/>
  <c r="C89" i="13"/>
  <c r="C93" i="13" s="1"/>
  <c r="D72" i="13"/>
  <c r="C72" i="13"/>
  <c r="C76" i="13" s="1"/>
  <c r="D55" i="13"/>
  <c r="C55" i="13"/>
  <c r="C59" i="13" s="1"/>
  <c r="D38" i="13"/>
  <c r="C38" i="13"/>
  <c r="C21" i="13"/>
  <c r="D21" i="13"/>
  <c r="B93" i="13"/>
  <c r="B76" i="13"/>
  <c r="B59" i="13"/>
  <c r="DQ23" i="15"/>
  <c r="DI35" i="15"/>
  <c r="DH35" i="15"/>
  <c r="DK35" i="15" s="1"/>
  <c r="DG35" i="15"/>
  <c r="DI34" i="15"/>
  <c r="DH34" i="15"/>
  <c r="DK34" i="15" s="1"/>
  <c r="DG34" i="15"/>
  <c r="DI33" i="15"/>
  <c r="DH33" i="15"/>
  <c r="DK33" i="15" s="1"/>
  <c r="DG33" i="15"/>
  <c r="DI32" i="15"/>
  <c r="DH32" i="15"/>
  <c r="DK32" i="15" s="1"/>
  <c r="DG32" i="15"/>
  <c r="DI31" i="15"/>
  <c r="DH31" i="15"/>
  <c r="DK31" i="15" s="1"/>
  <c r="DG31" i="15"/>
  <c r="DI30" i="15"/>
  <c r="DH30" i="15"/>
  <c r="DK30" i="15" s="1"/>
  <c r="DG30" i="15"/>
  <c r="DH29" i="15"/>
  <c r="EF28" i="15"/>
  <c r="EE28" i="15"/>
  <c r="DY28" i="15"/>
  <c r="DQ28" i="15"/>
  <c r="DO28" i="15"/>
  <c r="DN28" i="15"/>
  <c r="EF27" i="15"/>
  <c r="EE27" i="15"/>
  <c r="DY27" i="15"/>
  <c r="DT27" i="15"/>
  <c r="DQ27" i="15"/>
  <c r="DO27" i="15"/>
  <c r="DN27" i="15"/>
  <c r="EF26" i="15"/>
  <c r="EE26" i="15"/>
  <c r="DY26" i="15"/>
  <c r="EA26" i="15" s="1"/>
  <c r="EC26" i="15" s="1"/>
  <c r="DQ26" i="15"/>
  <c r="DO26" i="15"/>
  <c r="DN26" i="15"/>
  <c r="EF25" i="15"/>
  <c r="EE25" i="15"/>
  <c r="DY25" i="15"/>
  <c r="EA25" i="15" s="1"/>
  <c r="EC25" i="15" s="1"/>
  <c r="DT25" i="15"/>
  <c r="DQ25" i="15"/>
  <c r="DO25" i="15"/>
  <c r="DN25" i="15"/>
  <c r="EF24" i="15"/>
  <c r="EE24" i="15"/>
  <c r="DY24" i="15"/>
  <c r="EA24" i="15" s="1"/>
  <c r="EC24" i="15" s="1"/>
  <c r="DQ24" i="15"/>
  <c r="DO24" i="15"/>
  <c r="DN24" i="15"/>
  <c r="EF23" i="15"/>
  <c r="EE23" i="15"/>
  <c r="DY23" i="15"/>
  <c r="EA23" i="15" s="1"/>
  <c r="EC23" i="15" s="1"/>
  <c r="DO23" i="15"/>
  <c r="DN23" i="15"/>
  <c r="EF22" i="15"/>
  <c r="EE22" i="15"/>
  <c r="DY22" i="15"/>
  <c r="EA22" i="15" s="1"/>
  <c r="EC22" i="15" s="1"/>
  <c r="DQ22" i="15"/>
  <c r="EF21" i="15"/>
  <c r="EE21" i="15"/>
  <c r="DY21" i="15"/>
  <c r="DQ21" i="15"/>
  <c r="DO21" i="15"/>
  <c r="DN21" i="15"/>
  <c r="EF20" i="15"/>
  <c r="EE20" i="15"/>
  <c r="DY20" i="15"/>
  <c r="EA20" i="15" s="1"/>
  <c r="EC20" i="15" s="1"/>
  <c r="DQ20" i="15"/>
  <c r="DO20" i="15"/>
  <c r="DN20" i="15"/>
  <c r="EF19" i="15"/>
  <c r="EE19" i="15"/>
  <c r="DY19" i="15"/>
  <c r="EA19" i="15" s="1"/>
  <c r="EC19" i="15" s="1"/>
  <c r="DQ19" i="15"/>
  <c r="DO19" i="15"/>
  <c r="DN19" i="15"/>
  <c r="EF18" i="15"/>
  <c r="EE18" i="15"/>
  <c r="DY18" i="15"/>
  <c r="DQ18" i="15"/>
  <c r="DO18" i="15"/>
  <c r="DN18" i="15"/>
  <c r="EF17" i="15"/>
  <c r="EE17" i="15"/>
  <c r="DY17" i="15"/>
  <c r="EA17" i="15" s="1"/>
  <c r="EC17" i="15" s="1"/>
  <c r="DQ17" i="15"/>
  <c r="DO17" i="15"/>
  <c r="DN17" i="15"/>
  <c r="EF16" i="15"/>
  <c r="EE16" i="15"/>
  <c r="DY16" i="15"/>
  <c r="DQ16" i="15"/>
  <c r="DO16" i="15"/>
  <c r="DN16" i="15"/>
  <c r="EF15" i="15"/>
  <c r="EE15" i="15"/>
  <c r="DY15" i="15"/>
  <c r="EA15" i="15" s="1"/>
  <c r="EC15" i="15" s="1"/>
  <c r="DQ15" i="15"/>
  <c r="DM15" i="15"/>
  <c r="EF14" i="15"/>
  <c r="EE14" i="15"/>
  <c r="DY14" i="15"/>
  <c r="DQ14" i="15"/>
  <c r="DO14" i="15"/>
  <c r="DN14" i="15"/>
  <c r="EF13" i="15"/>
  <c r="EE13" i="15"/>
  <c r="DY13" i="15"/>
  <c r="EA13" i="15" s="1"/>
  <c r="EC13" i="15" s="1"/>
  <c r="DQ13" i="15"/>
  <c r="DO13" i="15"/>
  <c r="DN13" i="15"/>
  <c r="EF12" i="15"/>
  <c r="EE12" i="15"/>
  <c r="DY12" i="15"/>
  <c r="DQ12" i="15"/>
  <c r="DO12" i="15"/>
  <c r="DN12" i="15"/>
  <c r="EF11" i="15"/>
  <c r="EE11" i="15"/>
  <c r="DY11" i="15"/>
  <c r="DQ11" i="15"/>
  <c r="DO11" i="15"/>
  <c r="DN11" i="15"/>
  <c r="DQ10" i="15"/>
  <c r="DO10" i="15"/>
  <c r="DN10" i="15"/>
  <c r="DQ9" i="15"/>
  <c r="DO9" i="15"/>
  <c r="DN9" i="15"/>
  <c r="CA26" i="15"/>
  <c r="CA24" i="15"/>
  <c r="CA25" i="15"/>
  <c r="CA27" i="15"/>
  <c r="CA28" i="15"/>
  <c r="CA23" i="15"/>
  <c r="BY23" i="15"/>
  <c r="BX23" i="15"/>
  <c r="AE20" i="10"/>
  <c r="AJ30" i="15"/>
  <c r="CA9" i="15"/>
  <c r="CP28" i="15"/>
  <c r="CO28" i="15"/>
  <c r="CI28" i="15"/>
  <c r="CP27" i="15"/>
  <c r="CO27" i="15"/>
  <c r="CI27" i="15"/>
  <c r="CK27" i="15" s="1"/>
  <c r="CM27" i="15" s="1"/>
  <c r="CD27" i="15"/>
  <c r="CP26" i="15"/>
  <c r="CO26" i="15"/>
  <c r="CI26" i="15"/>
  <c r="CK26" i="15" s="1"/>
  <c r="CM26" i="15" s="1"/>
  <c r="CP25" i="15"/>
  <c r="CO25" i="15"/>
  <c r="CI25" i="15"/>
  <c r="CD25" i="15"/>
  <c r="CP24" i="15"/>
  <c r="CO24" i="15"/>
  <c r="CI24" i="15"/>
  <c r="CK24" i="15" s="1"/>
  <c r="CM24" i="15" s="1"/>
  <c r="CP23" i="15"/>
  <c r="CO23" i="15"/>
  <c r="CI23" i="15"/>
  <c r="CK23" i="15" s="1"/>
  <c r="CM23" i="15" s="1"/>
  <c r="CP22" i="15"/>
  <c r="CO22" i="15"/>
  <c r="CI22" i="15"/>
  <c r="CA22" i="15"/>
  <c r="CP21" i="15"/>
  <c r="CO21" i="15"/>
  <c r="CI21" i="15"/>
  <c r="CA21" i="15"/>
  <c r="CP20" i="15"/>
  <c r="CO20" i="15"/>
  <c r="CI20" i="15"/>
  <c r="CK20" i="15" s="1"/>
  <c r="CM20" i="15" s="1"/>
  <c r="CA20" i="15"/>
  <c r="CP19" i="15"/>
  <c r="CO19" i="15"/>
  <c r="CI19" i="15"/>
  <c r="CK19" i="15" s="1"/>
  <c r="CM19" i="15" s="1"/>
  <c r="CA19" i="15"/>
  <c r="CP18" i="15"/>
  <c r="CO18" i="15"/>
  <c r="CI18" i="15"/>
  <c r="CK18" i="15" s="1"/>
  <c r="CM18" i="15" s="1"/>
  <c r="CA18" i="15"/>
  <c r="CP17" i="15"/>
  <c r="CO17" i="15"/>
  <c r="CI17" i="15"/>
  <c r="CA17" i="15"/>
  <c r="CP16" i="15"/>
  <c r="CO16" i="15"/>
  <c r="CI16" i="15"/>
  <c r="CK16" i="15" s="1"/>
  <c r="CM16" i="15" s="1"/>
  <c r="CA16" i="15"/>
  <c r="CP15" i="15"/>
  <c r="CO15" i="15"/>
  <c r="CI15" i="15"/>
  <c r="CK15" i="15" s="1"/>
  <c r="CM15" i="15" s="1"/>
  <c r="CA15" i="15"/>
  <c r="CP14" i="15"/>
  <c r="CO14" i="15"/>
  <c r="CI14" i="15"/>
  <c r="CK14" i="15" s="1"/>
  <c r="CM14" i="15" s="1"/>
  <c r="CA14" i="15"/>
  <c r="CP13" i="15"/>
  <c r="CO13" i="15"/>
  <c r="CI13" i="15"/>
  <c r="CA13" i="15"/>
  <c r="CP12" i="15"/>
  <c r="CO12" i="15"/>
  <c r="CI12" i="15"/>
  <c r="CK12" i="15" s="1"/>
  <c r="CM12" i="15" s="1"/>
  <c r="CA12" i="15"/>
  <c r="CP11" i="15"/>
  <c r="CO11" i="15"/>
  <c r="CI11" i="15"/>
  <c r="CK11" i="15" s="1"/>
  <c r="CM11" i="15" s="1"/>
  <c r="CA11" i="15"/>
  <c r="CA10" i="15"/>
  <c r="BY9" i="15"/>
  <c r="BX26" i="15"/>
  <c r="BX25" i="15"/>
  <c r="BX24" i="15"/>
  <c r="BX27" i="15"/>
  <c r="BX28" i="15"/>
  <c r="BY24" i="15"/>
  <c r="BY25" i="15"/>
  <c r="BY26" i="15"/>
  <c r="BY27" i="15"/>
  <c r="BY28" i="15"/>
  <c r="BX9" i="15"/>
  <c r="BS35" i="15"/>
  <c r="BR35" i="15"/>
  <c r="BU35" i="15" s="1"/>
  <c r="BQ35" i="15"/>
  <c r="BS34" i="15"/>
  <c r="BR34" i="15"/>
  <c r="BU34" i="15" s="1"/>
  <c r="BQ34" i="15"/>
  <c r="BS33" i="15"/>
  <c r="BR33" i="15"/>
  <c r="BU33" i="15" s="1"/>
  <c r="BQ33" i="15"/>
  <c r="BS32" i="15"/>
  <c r="BR32" i="15"/>
  <c r="BU32" i="15" s="1"/>
  <c r="BQ32" i="15"/>
  <c r="BS31" i="15"/>
  <c r="BR31" i="15"/>
  <c r="BU31" i="15" s="1"/>
  <c r="BQ31" i="15"/>
  <c r="BS30" i="15"/>
  <c r="BR30" i="15"/>
  <c r="BU30" i="15" s="1"/>
  <c r="BQ30" i="15"/>
  <c r="BR29" i="15"/>
  <c r="BW28" i="15" s="1"/>
  <c r="BY21" i="15"/>
  <c r="BX21" i="15"/>
  <c r="BY20" i="15"/>
  <c r="BX20" i="15"/>
  <c r="BY19" i="15"/>
  <c r="BX19" i="15"/>
  <c r="BY18" i="15"/>
  <c r="BX18" i="15"/>
  <c r="BY17" i="15"/>
  <c r="BX17" i="15"/>
  <c r="BY16" i="15"/>
  <c r="BX16" i="15"/>
  <c r="BW15" i="15"/>
  <c r="BY14" i="15"/>
  <c r="BX14" i="15"/>
  <c r="BY13" i="15"/>
  <c r="BX13" i="15"/>
  <c r="BY12" i="15"/>
  <c r="BX12" i="15"/>
  <c r="BY11" i="15"/>
  <c r="BX11" i="15"/>
  <c r="BY10" i="15"/>
  <c r="BX10" i="15"/>
  <c r="V25" i="15"/>
  <c r="W25" i="15" s="1"/>
  <c r="X25" i="15" s="1"/>
  <c r="DC9" i="15" s="1"/>
  <c r="G29" i="3" s="1"/>
  <c r="S18" i="15"/>
  <c r="T18" i="15" s="1"/>
  <c r="U18" i="15" s="1"/>
  <c r="P26" i="15"/>
  <c r="P25" i="15"/>
  <c r="P23" i="15"/>
  <c r="D192" i="15"/>
  <c r="J192" i="15" s="1"/>
  <c r="E192" i="15"/>
  <c r="L192" i="15" s="1"/>
  <c r="F192" i="15"/>
  <c r="M192" i="15" s="1"/>
  <c r="P24" i="15" s="1"/>
  <c r="G192" i="15"/>
  <c r="C192" i="15"/>
  <c r="I192" i="15" s="1"/>
  <c r="N179" i="15"/>
  <c r="P22" i="15"/>
  <c r="P21" i="15"/>
  <c r="P20" i="15"/>
  <c r="P19" i="15"/>
  <c r="Q19" i="15" s="1"/>
  <c r="R18" i="15"/>
  <c r="E17" i="13" l="1"/>
  <c r="K68" i="13"/>
  <c r="D13" i="13"/>
  <c r="I13" i="13" s="1"/>
  <c r="C47" i="13"/>
  <c r="H119" i="3"/>
  <c r="H172" i="3" s="1"/>
  <c r="F16" i="13"/>
  <c r="G16" i="13" s="1"/>
  <c r="I29" i="16"/>
  <c r="F33" i="13"/>
  <c r="K55" i="13"/>
  <c r="F50" i="13"/>
  <c r="DM25" i="15"/>
  <c r="I51" i="13"/>
  <c r="I55" i="13" s="1"/>
  <c r="I56" i="13" s="1"/>
  <c r="F67" i="13"/>
  <c r="G67" i="13" s="1"/>
  <c r="K34" i="13"/>
  <c r="I27" i="16"/>
  <c r="I31" i="16"/>
  <c r="E51" i="13"/>
  <c r="D81" i="13"/>
  <c r="I81" i="13" s="1"/>
  <c r="I85" i="13" s="1"/>
  <c r="I89" i="13" s="1"/>
  <c r="V26" i="15"/>
  <c r="W26" i="15" s="1"/>
  <c r="X26" i="15" s="1"/>
  <c r="BM9" i="15" s="1"/>
  <c r="H29" i="3" s="1"/>
  <c r="K72" i="13"/>
  <c r="K38" i="13"/>
  <c r="K89" i="13"/>
  <c r="K51" i="13"/>
  <c r="D30" i="13"/>
  <c r="D64" i="13"/>
  <c r="I64" i="13" s="1"/>
  <c r="I68" i="13" s="1"/>
  <c r="I72" i="13" s="1"/>
  <c r="I40" i="16"/>
  <c r="I42" i="16"/>
  <c r="E45" i="13"/>
  <c r="E89" i="13"/>
  <c r="F55" i="3"/>
  <c r="F119" i="3" s="1"/>
  <c r="F172" i="3" s="1"/>
  <c r="I25" i="16"/>
  <c r="H48" i="16"/>
  <c r="I23" i="16"/>
  <c r="I59" i="16"/>
  <c r="I72" i="16"/>
  <c r="E61" i="16"/>
  <c r="I74" i="16" s="1"/>
  <c r="I68" i="16"/>
  <c r="H35" i="16"/>
  <c r="I36" i="16"/>
  <c r="I38" i="16"/>
  <c r="H61" i="16"/>
  <c r="E35" i="16"/>
  <c r="I35" i="16" s="1"/>
  <c r="I43" i="16"/>
  <c r="I44" i="16"/>
  <c r="I46" i="16"/>
  <c r="I57" i="16"/>
  <c r="I45" i="16"/>
  <c r="I24" i="16"/>
  <c r="I26" i="16"/>
  <c r="I28" i="16"/>
  <c r="I30" i="16"/>
  <c r="I32" i="16"/>
  <c r="I34" i="16"/>
  <c r="I41" i="16"/>
  <c r="I49" i="16"/>
  <c r="I51" i="16"/>
  <c r="I53" i="16"/>
  <c r="I55" i="16"/>
  <c r="I54" i="16"/>
  <c r="I56" i="16"/>
  <c r="I58" i="16"/>
  <c r="I37" i="16"/>
  <c r="I39" i="16"/>
  <c r="I47" i="16"/>
  <c r="K64" i="13"/>
  <c r="I17" i="13"/>
  <c r="I21" i="13" s="1"/>
  <c r="I22" i="13" s="1"/>
  <c r="I23" i="13" s="1"/>
  <c r="I24" i="13" s="1"/>
  <c r="E29" i="13"/>
  <c r="E30" i="13" s="1"/>
  <c r="G35" i="13"/>
  <c r="L35" i="13" s="1"/>
  <c r="G69" i="13"/>
  <c r="L69" i="13" s="1"/>
  <c r="G33" i="13"/>
  <c r="E21" i="13"/>
  <c r="G50" i="13"/>
  <c r="E68" i="13"/>
  <c r="E55" i="13"/>
  <c r="D55" i="3"/>
  <c r="D119" i="3" s="1"/>
  <c r="D172" i="3" s="1"/>
  <c r="E55" i="3"/>
  <c r="E119" i="3" s="1"/>
  <c r="E172" i="3" s="1"/>
  <c r="G55" i="3"/>
  <c r="G119" i="3" s="1"/>
  <c r="G172" i="3" s="1"/>
  <c r="E80" i="13"/>
  <c r="E81" i="13" s="1"/>
  <c r="K47" i="13"/>
  <c r="I30" i="13"/>
  <c r="I34" i="13" s="1"/>
  <c r="I38" i="13" s="1"/>
  <c r="I39" i="13" s="1"/>
  <c r="I40" i="13" s="1"/>
  <c r="I41" i="13" s="1"/>
  <c r="K30" i="13"/>
  <c r="E64" i="13"/>
  <c r="E47" i="13"/>
  <c r="E13" i="13"/>
  <c r="E25" i="13" s="1"/>
  <c r="E34" i="13"/>
  <c r="E38" i="13"/>
  <c r="CA34" i="15"/>
  <c r="CA31" i="15"/>
  <c r="V24" i="15"/>
  <c r="V23" i="15" s="1"/>
  <c r="CA32" i="15"/>
  <c r="CG15" i="15"/>
  <c r="CZ15" i="15" s="1"/>
  <c r="CG16" i="15"/>
  <c r="CZ16" i="15" s="1"/>
  <c r="CG17" i="15"/>
  <c r="CZ17" i="15" s="1"/>
  <c r="CG14" i="15"/>
  <c r="CG18" i="15"/>
  <c r="CZ18" i="15" s="1"/>
  <c r="CA33" i="15"/>
  <c r="K192" i="15"/>
  <c r="DM24" i="15"/>
  <c r="BW23" i="15"/>
  <c r="BW26" i="15"/>
  <c r="DM28" i="15"/>
  <c r="DM27" i="15"/>
  <c r="DM26" i="15"/>
  <c r="DM23" i="15"/>
  <c r="BW27" i="15"/>
  <c r="CA29" i="15"/>
  <c r="BW25" i="15"/>
  <c r="CA37" i="15"/>
  <c r="DQ33" i="15"/>
  <c r="BW24" i="15"/>
  <c r="CA30" i="15"/>
  <c r="EA16" i="15"/>
  <c r="EC16" i="15" s="1"/>
  <c r="DQ32" i="15"/>
  <c r="EA11" i="15"/>
  <c r="EC11" i="15" s="1"/>
  <c r="EA14" i="15"/>
  <c r="EC14" i="15" s="1"/>
  <c r="EA12" i="15"/>
  <c r="EC12" i="15" s="1"/>
  <c r="EA18" i="15"/>
  <c r="EC18" i="15" s="1"/>
  <c r="EA27" i="15"/>
  <c r="EC27" i="15" s="1"/>
  <c r="DQ30" i="15"/>
  <c r="DQ37" i="15"/>
  <c r="DQ29" i="15"/>
  <c r="DQ31" i="15"/>
  <c r="EA21" i="15"/>
  <c r="EC21" i="15" s="1"/>
  <c r="EA28" i="15"/>
  <c r="EC28" i="15" s="1"/>
  <c r="DQ34" i="15"/>
  <c r="CK21" i="15"/>
  <c r="CM21" i="15" s="1"/>
  <c r="CK25" i="15"/>
  <c r="CM25" i="15" s="1"/>
  <c r="CK13" i="15"/>
  <c r="CM13" i="15" s="1"/>
  <c r="CK17" i="15"/>
  <c r="CM17" i="15" s="1"/>
  <c r="CK28" i="15"/>
  <c r="CM28" i="15" s="1"/>
  <c r="CK22" i="15"/>
  <c r="CM22" i="15" s="1"/>
  <c r="R19" i="15"/>
  <c r="Q20" i="15"/>
  <c r="S19" i="15"/>
  <c r="T19" i="15" s="1"/>
  <c r="U19" i="15" s="1"/>
  <c r="L86" i="13" l="1"/>
  <c r="E93" i="13"/>
  <c r="L33" i="13"/>
  <c r="J119" i="3"/>
  <c r="J172" i="3" s="1"/>
  <c r="E59" i="13"/>
  <c r="CW16" i="15"/>
  <c r="CX16" i="15" s="1"/>
  <c r="K81" i="13"/>
  <c r="E76" i="13"/>
  <c r="E42" i="13"/>
  <c r="I48" i="16"/>
  <c r="I61" i="16"/>
  <c r="L67" i="13"/>
  <c r="L50" i="13"/>
  <c r="L52" i="13"/>
  <c r="L84" i="13"/>
  <c r="I90" i="13"/>
  <c r="I91" i="13" s="1"/>
  <c r="I92" i="13" s="1"/>
  <c r="I73" i="13"/>
  <c r="I57" i="13"/>
  <c r="I25" i="13"/>
  <c r="W24" i="15"/>
  <c r="X24" i="15" s="1"/>
  <c r="ES9" i="15" s="1"/>
  <c r="DW18" i="15" s="1"/>
  <c r="EG18" i="15" s="1"/>
  <c r="CA36" i="15"/>
  <c r="CQ16" i="15"/>
  <c r="DW16" i="15"/>
  <c r="EG16" i="15" s="1"/>
  <c r="DW17" i="15"/>
  <c r="V22" i="15"/>
  <c r="W23" i="15"/>
  <c r="X23" i="15" s="1"/>
  <c r="DQ36" i="15"/>
  <c r="CW18" i="15"/>
  <c r="CX18" i="15" s="1"/>
  <c r="CQ18" i="15"/>
  <c r="CQ15" i="15"/>
  <c r="CW15" i="15"/>
  <c r="CX15" i="15" s="1"/>
  <c r="CW17" i="15"/>
  <c r="CX17" i="15" s="1"/>
  <c r="CQ17" i="15"/>
  <c r="Q21" i="15"/>
  <c r="S20" i="15"/>
  <c r="T20" i="15" s="1"/>
  <c r="U20" i="15" s="1"/>
  <c r="R20" i="15"/>
  <c r="EX9" i="15" l="1"/>
  <c r="F29" i="3"/>
  <c r="DW15" i="15"/>
  <c r="DW14" i="15"/>
  <c r="EP14" i="15" s="1"/>
  <c r="I93" i="13"/>
  <c r="I74" i="13"/>
  <c r="I58" i="13"/>
  <c r="I59" i="13" s="1"/>
  <c r="EJ16" i="15"/>
  <c r="EH16" i="15"/>
  <c r="EI16" i="15"/>
  <c r="EJ18" i="15"/>
  <c r="EI18" i="15"/>
  <c r="EH18" i="15"/>
  <c r="CR16" i="15"/>
  <c r="CT16" i="15"/>
  <c r="CS16" i="15"/>
  <c r="CS15" i="15"/>
  <c r="CT15" i="15"/>
  <c r="CR15" i="15"/>
  <c r="CS17" i="15"/>
  <c r="CT17" i="15"/>
  <c r="CR17" i="15"/>
  <c r="CS18" i="15"/>
  <c r="CR18" i="15"/>
  <c r="CT18" i="15"/>
  <c r="CB14" i="15"/>
  <c r="CB28" i="15"/>
  <c r="DR17" i="15"/>
  <c r="DV20" i="15" s="1"/>
  <c r="DW20" i="15" s="1"/>
  <c r="DR25" i="15"/>
  <c r="CB31" i="15"/>
  <c r="CB20" i="15"/>
  <c r="CF26" i="15" s="1"/>
  <c r="CG26" i="15" s="1"/>
  <c r="DR19" i="15"/>
  <c r="DV22" i="15" s="1"/>
  <c r="DW22" i="15" s="1"/>
  <c r="CB27" i="15"/>
  <c r="DR26" i="15"/>
  <c r="DR16" i="15"/>
  <c r="DV12" i="15" s="1"/>
  <c r="DW12" i="15" s="1"/>
  <c r="CB19" i="15"/>
  <c r="CF22" i="15" s="1"/>
  <c r="CG22" i="15" s="1"/>
  <c r="CB22" i="15"/>
  <c r="CB10" i="15"/>
  <c r="CB24" i="15"/>
  <c r="DR23" i="15"/>
  <c r="DV13" i="15" s="1"/>
  <c r="DW13" i="15" s="1"/>
  <c r="CB25" i="15"/>
  <c r="CB16" i="15"/>
  <c r="CF12" i="15" s="1"/>
  <c r="CG12" i="15" s="1"/>
  <c r="DR21" i="15"/>
  <c r="DV28" i="15" s="1"/>
  <c r="DR10" i="15"/>
  <c r="DV19" i="15" s="1"/>
  <c r="DW19" i="15" s="1"/>
  <c r="DR12" i="15"/>
  <c r="DV21" i="15" s="1"/>
  <c r="CB15" i="15"/>
  <c r="CB18" i="15"/>
  <c r="CF24" i="15" s="1"/>
  <c r="CG24" i="15" s="1"/>
  <c r="CB17" i="15"/>
  <c r="CF20" i="15" s="1"/>
  <c r="CG20" i="15" s="1"/>
  <c r="DR14" i="15"/>
  <c r="CB23" i="15"/>
  <c r="CF13" i="15" s="1"/>
  <c r="CG13" i="15" s="1"/>
  <c r="DR22" i="15"/>
  <c r="CB12" i="15"/>
  <c r="CF21" i="15" s="1"/>
  <c r="CG21" i="15" s="1"/>
  <c r="DR18" i="15"/>
  <c r="DV24" i="15" s="1"/>
  <c r="DW24" i="15" s="1"/>
  <c r="DR15" i="15"/>
  <c r="DR11" i="15"/>
  <c r="DV23" i="15" s="1"/>
  <c r="DW23" i="15" s="1"/>
  <c r="CB9" i="15"/>
  <c r="CF11" i="15" s="1"/>
  <c r="CG11" i="15" s="1"/>
  <c r="CB13" i="15"/>
  <c r="CB34" i="15"/>
  <c r="CB32" i="15"/>
  <c r="CB21" i="15"/>
  <c r="CF28" i="15" s="1"/>
  <c r="DR28" i="15"/>
  <c r="DR27" i="15"/>
  <c r="DR20" i="15"/>
  <c r="DV26" i="15" s="1"/>
  <c r="DW26" i="15" s="1"/>
  <c r="DR24" i="15"/>
  <c r="DR13" i="15"/>
  <c r="DR9" i="15"/>
  <c r="DV11" i="15" s="1"/>
  <c r="CB26" i="15"/>
  <c r="CB11" i="15"/>
  <c r="CF23" i="15" s="1"/>
  <c r="CG23" i="15" s="1"/>
  <c r="EP17" i="15"/>
  <c r="EG17" i="15"/>
  <c r="EM17" i="15"/>
  <c r="EN17" i="15" s="1"/>
  <c r="EG14" i="15"/>
  <c r="CB33" i="15"/>
  <c r="EP18" i="15"/>
  <c r="EM18" i="15"/>
  <c r="EN18" i="15" s="1"/>
  <c r="EP16" i="15"/>
  <c r="EM16" i="15"/>
  <c r="EN16" i="15" s="1"/>
  <c r="DR32" i="15"/>
  <c r="V21" i="15"/>
  <c r="W22" i="15"/>
  <c r="X22" i="15" s="1"/>
  <c r="DR30" i="15"/>
  <c r="DR31" i="15"/>
  <c r="DR29" i="15"/>
  <c r="DR33" i="15"/>
  <c r="EP15" i="15"/>
  <c r="EM15" i="15"/>
  <c r="EN15" i="15" s="1"/>
  <c r="EG15" i="15"/>
  <c r="CB30" i="15"/>
  <c r="CB29" i="15"/>
  <c r="DR34" i="15"/>
  <c r="CZ14" i="15"/>
  <c r="CQ14" i="15"/>
  <c r="CW14" i="15"/>
  <c r="CX14" i="15" s="1"/>
  <c r="R21" i="15"/>
  <c r="Q22" i="15"/>
  <c r="S21" i="15"/>
  <c r="T21" i="15" s="1"/>
  <c r="U21" i="15" s="1"/>
  <c r="EM14" i="15" l="1"/>
  <c r="EN14" i="15" s="1"/>
  <c r="FC9" i="15"/>
  <c r="D29" i="3" s="1"/>
  <c r="E29" i="3"/>
  <c r="I75" i="13"/>
  <c r="EJ14" i="15"/>
  <c r="EI14" i="15"/>
  <c r="EH14" i="15"/>
  <c r="EH15" i="15"/>
  <c r="EI15" i="15"/>
  <c r="EJ15" i="15"/>
  <c r="EI17" i="15"/>
  <c r="EJ17" i="15"/>
  <c r="EH17" i="15"/>
  <c r="CS14" i="15"/>
  <c r="CR14" i="15"/>
  <c r="CT14" i="15"/>
  <c r="V20" i="15"/>
  <c r="W21" i="15"/>
  <c r="X21" i="15" s="1"/>
  <c r="C29" i="3" s="1"/>
  <c r="EG23" i="15"/>
  <c r="EM23" i="15"/>
  <c r="EN23" i="15" s="1"/>
  <c r="EP23" i="15"/>
  <c r="EP12" i="15"/>
  <c r="EM12" i="15"/>
  <c r="EN12" i="15" s="1"/>
  <c r="EG12" i="15"/>
  <c r="CF19" i="15"/>
  <c r="CG19" i="15" s="1"/>
  <c r="DV27" i="15"/>
  <c r="DV25" i="15"/>
  <c r="CF25" i="15"/>
  <c r="CG25" i="15" s="1"/>
  <c r="CF27" i="15"/>
  <c r="EG24" i="15"/>
  <c r="EP24" i="15"/>
  <c r="EM24" i="15"/>
  <c r="EN24" i="15" s="1"/>
  <c r="DW21" i="15"/>
  <c r="EM26" i="15"/>
  <c r="EN26" i="15" s="1"/>
  <c r="EG26" i="15"/>
  <c r="EP26" i="15"/>
  <c r="CZ24" i="15"/>
  <c r="CW24" i="15"/>
  <c r="CX24" i="15" s="1"/>
  <c r="CQ24" i="15"/>
  <c r="DW28" i="15"/>
  <c r="EP28" i="15" s="1"/>
  <c r="CW26" i="15"/>
  <c r="CX26" i="15" s="1"/>
  <c r="CQ26" i="15"/>
  <c r="CZ26" i="15"/>
  <c r="DW11" i="15"/>
  <c r="CZ13" i="15"/>
  <c r="CQ13" i="15"/>
  <c r="CW13" i="15"/>
  <c r="CX13" i="15" s="1"/>
  <c r="CZ12" i="15"/>
  <c r="CW12" i="15"/>
  <c r="CX12" i="15" s="1"/>
  <c r="CQ12" i="15"/>
  <c r="CW23" i="15"/>
  <c r="CX23" i="15" s="1"/>
  <c r="CZ23" i="15"/>
  <c r="CQ23" i="15"/>
  <c r="CG28" i="15"/>
  <c r="CZ28" i="15" s="1"/>
  <c r="CW11" i="15"/>
  <c r="CX11" i="15" s="1"/>
  <c r="CZ11" i="15"/>
  <c r="CQ11" i="15"/>
  <c r="CZ21" i="15"/>
  <c r="CQ21" i="15"/>
  <c r="CW21" i="15"/>
  <c r="CX21" i="15" s="1"/>
  <c r="CW20" i="15"/>
  <c r="CX20" i="15" s="1"/>
  <c r="CZ20" i="15"/>
  <c r="CQ20" i="15"/>
  <c r="EG19" i="15"/>
  <c r="EP19" i="15"/>
  <c r="EM19" i="15"/>
  <c r="EN19" i="15" s="1"/>
  <c r="EM13" i="15"/>
  <c r="EN13" i="15" s="1"/>
  <c r="EG13" i="15"/>
  <c r="EP13" i="15"/>
  <c r="CZ22" i="15"/>
  <c r="CW22" i="15"/>
  <c r="CX22" i="15" s="1"/>
  <c r="CQ22" i="15"/>
  <c r="EM22" i="15"/>
  <c r="EN22" i="15" s="1"/>
  <c r="EG22" i="15"/>
  <c r="EP22" i="15"/>
  <c r="EM20" i="15"/>
  <c r="EN20" i="15" s="1"/>
  <c r="EG20" i="15"/>
  <c r="EP20" i="15"/>
  <c r="Q23" i="15"/>
  <c r="S22" i="15"/>
  <c r="T22" i="15" s="1"/>
  <c r="U22" i="15" s="1"/>
  <c r="R22" i="15"/>
  <c r="DE16" i="15" l="1"/>
  <c r="DE13" i="15"/>
  <c r="DD16" i="15"/>
  <c r="I76" i="13"/>
  <c r="EJ12" i="15"/>
  <c r="EH12" i="15"/>
  <c r="EI12" i="15"/>
  <c r="EJ22" i="15"/>
  <c r="EI22" i="15"/>
  <c r="EH22" i="15"/>
  <c r="EJ26" i="15"/>
  <c r="EI26" i="15"/>
  <c r="EH26" i="15"/>
  <c r="EH23" i="15"/>
  <c r="EI23" i="15"/>
  <c r="EJ23" i="15"/>
  <c r="EJ20" i="15"/>
  <c r="EH20" i="15"/>
  <c r="EI20" i="15"/>
  <c r="EJ24" i="15"/>
  <c r="EH24" i="15"/>
  <c r="EI24" i="15"/>
  <c r="EI13" i="15"/>
  <c r="EJ13" i="15"/>
  <c r="EH13" i="15"/>
  <c r="EH19" i="15"/>
  <c r="EI19" i="15"/>
  <c r="EJ19" i="15"/>
  <c r="CR22" i="15"/>
  <c r="CS22" i="15"/>
  <c r="CT22" i="15"/>
  <c r="CR20" i="15"/>
  <c r="CT20" i="15"/>
  <c r="CS20" i="15"/>
  <c r="CS21" i="15"/>
  <c r="CT21" i="15"/>
  <c r="CR21" i="15"/>
  <c r="CR12" i="15"/>
  <c r="CT12" i="15"/>
  <c r="CS12" i="15"/>
  <c r="CS13" i="15"/>
  <c r="CT13" i="15"/>
  <c r="CR13" i="15"/>
  <c r="CS26" i="15"/>
  <c r="CR26" i="15"/>
  <c r="CT26" i="15"/>
  <c r="CR24" i="15"/>
  <c r="CS24" i="15"/>
  <c r="CT24" i="15"/>
  <c r="CS11" i="15"/>
  <c r="CT11" i="15"/>
  <c r="CR11" i="15"/>
  <c r="CS23" i="15"/>
  <c r="CT23" i="15"/>
  <c r="CR23" i="15"/>
  <c r="DD15" i="15"/>
  <c r="ET16" i="15"/>
  <c r="EY16" i="15" s="1"/>
  <c r="FD16" i="15" s="1"/>
  <c r="EU14" i="15"/>
  <c r="EZ14" i="15" s="1"/>
  <c r="FE14" i="15" s="1"/>
  <c r="DD13" i="15"/>
  <c r="DD21" i="15" s="1"/>
  <c r="EG21" i="15"/>
  <c r="EM21" i="15"/>
  <c r="EN21" i="15" s="1"/>
  <c r="ET15" i="15" s="1"/>
  <c r="EY15" i="15" s="1"/>
  <c r="FD15" i="15" s="1"/>
  <c r="DW27" i="15"/>
  <c r="EP21" i="15"/>
  <c r="EM11" i="15"/>
  <c r="EG11" i="15"/>
  <c r="CZ25" i="15"/>
  <c r="DE17" i="15" s="1"/>
  <c r="CQ25" i="15"/>
  <c r="CW25" i="15"/>
  <c r="CX25" i="15" s="1"/>
  <c r="DD17" i="15" s="1"/>
  <c r="CW19" i="15"/>
  <c r="CX19" i="15" s="1"/>
  <c r="DD14" i="15" s="1"/>
  <c r="DD22" i="15" s="1"/>
  <c r="CZ19" i="15"/>
  <c r="DE14" i="15" s="1"/>
  <c r="DE22" i="15" s="1"/>
  <c r="CG27" i="15"/>
  <c r="ET14" i="15"/>
  <c r="DE15" i="15"/>
  <c r="CQ28" i="15"/>
  <c r="CW28" i="15"/>
  <c r="CX28" i="15" s="1"/>
  <c r="EP11" i="15"/>
  <c r="EU13" i="15" s="1"/>
  <c r="EZ13" i="15" s="1"/>
  <c r="FE13" i="15" s="1"/>
  <c r="FE21" i="15" s="1"/>
  <c r="EM28" i="15"/>
  <c r="EN28" i="15" s="1"/>
  <c r="EG28" i="15"/>
  <c r="DW25" i="15"/>
  <c r="CQ19" i="15"/>
  <c r="EU16" i="15"/>
  <c r="EZ16" i="15" s="1"/>
  <c r="FE16" i="15" s="1"/>
  <c r="V19" i="15"/>
  <c r="W20" i="15"/>
  <c r="X20" i="15" s="1"/>
  <c r="DE21" i="15"/>
  <c r="R23" i="15"/>
  <c r="Q24" i="15"/>
  <c r="S23" i="15"/>
  <c r="T23" i="15" s="1"/>
  <c r="U23" i="15" s="1"/>
  <c r="ET22" i="15" l="1"/>
  <c r="EY14" i="15"/>
  <c r="FD14" i="15" s="1"/>
  <c r="FD22" i="15" s="1"/>
  <c r="FE22" i="15"/>
  <c r="K93" i="13"/>
  <c r="K76" i="13"/>
  <c r="EI11" i="15"/>
  <c r="EJ11" i="15"/>
  <c r="EH11" i="15"/>
  <c r="EJ28" i="15"/>
  <c r="EH28" i="15"/>
  <c r="EI28" i="15"/>
  <c r="EI21" i="15"/>
  <c r="EJ21" i="15"/>
  <c r="EH21" i="15"/>
  <c r="EU22" i="15"/>
  <c r="EU15" i="15"/>
  <c r="EZ15" i="15" s="1"/>
  <c r="FE15" i="15" s="1"/>
  <c r="CR28" i="15"/>
  <c r="CT28" i="15"/>
  <c r="CS28" i="15"/>
  <c r="CS25" i="15"/>
  <c r="CT25" i="15"/>
  <c r="CR25" i="15"/>
  <c r="CU11" i="15"/>
  <c r="CS19" i="15"/>
  <c r="CT19" i="15"/>
  <c r="CR19" i="15"/>
  <c r="EU21" i="15"/>
  <c r="CQ27" i="15"/>
  <c r="CW27" i="15"/>
  <c r="EM27" i="15"/>
  <c r="EN27" i="15" s="1"/>
  <c r="ET18" i="15" s="1"/>
  <c r="EY18" i="15" s="1"/>
  <c r="FD18" i="15" s="1"/>
  <c r="EG27" i="15"/>
  <c r="W19" i="15"/>
  <c r="X19" i="15" s="1"/>
  <c r="V18" i="15"/>
  <c r="EP25" i="15"/>
  <c r="EM25" i="15"/>
  <c r="EN25" i="15" s="1"/>
  <c r="ET17" i="15" s="1"/>
  <c r="EY17" i="15" s="1"/>
  <c r="FD17" i="15" s="1"/>
  <c r="EG25" i="15"/>
  <c r="CZ27" i="15"/>
  <c r="DE18" i="15" s="1"/>
  <c r="DE19" i="15" s="1"/>
  <c r="EN11" i="15"/>
  <c r="EP27" i="15"/>
  <c r="Q25" i="15"/>
  <c r="S24" i="15"/>
  <c r="T24" i="15" s="1"/>
  <c r="U24" i="15" s="1"/>
  <c r="R24" i="15"/>
  <c r="FD23" i="15" l="1"/>
  <c r="EU18" i="15"/>
  <c r="EZ18" i="15" s="1"/>
  <c r="FE18" i="15" s="1"/>
  <c r="EH27" i="15"/>
  <c r="EI27" i="15"/>
  <c r="EJ27" i="15"/>
  <c r="EU17" i="15"/>
  <c r="EZ17" i="15" s="1"/>
  <c r="FE17" i="15" s="1"/>
  <c r="FE19" i="15" s="1"/>
  <c r="EG30" i="15"/>
  <c r="EI25" i="15"/>
  <c r="EJ25" i="15"/>
  <c r="EH25" i="15"/>
  <c r="CQ30" i="15"/>
  <c r="CS27" i="15"/>
  <c r="CT27" i="15"/>
  <c r="CR27" i="15"/>
  <c r="DE23" i="15"/>
  <c r="DE24" i="15" s="1"/>
  <c r="CZ30" i="15"/>
  <c r="ET23" i="15"/>
  <c r="EN30" i="15"/>
  <c r="ET13" i="15"/>
  <c r="EY13" i="15" s="1"/>
  <c r="CX27" i="15"/>
  <c r="CW30" i="15"/>
  <c r="EP30" i="15"/>
  <c r="Q26" i="15"/>
  <c r="R26" i="15" s="1"/>
  <c r="Q28" i="15"/>
  <c r="EM30" i="15"/>
  <c r="W18" i="15"/>
  <c r="V28" i="15"/>
  <c r="R25" i="15"/>
  <c r="R28" i="15" s="1"/>
  <c r="S25" i="15"/>
  <c r="EY21" i="15" l="1"/>
  <c r="FD13" i="15"/>
  <c r="EU23" i="15"/>
  <c r="FE23" i="15"/>
  <c r="FE24" i="15" s="1"/>
  <c r="EZ21" i="15"/>
  <c r="EU24" i="15"/>
  <c r="DE26" i="15" s="1"/>
  <c r="EU19" i="15"/>
  <c r="S26" i="15"/>
  <c r="T26" i="15" s="1"/>
  <c r="U26" i="15" s="1"/>
  <c r="DD18" i="15"/>
  <c r="CX30" i="15"/>
  <c r="T25" i="15"/>
  <c r="S28" i="15"/>
  <c r="ET19" i="15"/>
  <c r="ET21" i="15"/>
  <c r="ET24" i="15" s="1"/>
  <c r="X18" i="15"/>
  <c r="W28" i="15"/>
  <c r="FD21" i="15" l="1"/>
  <c r="FD24" i="15" s="1"/>
  <c r="FD19" i="15"/>
  <c r="EZ22" i="15"/>
  <c r="U25" i="15"/>
  <c r="U28" i="15" s="1"/>
  <c r="T28" i="15"/>
  <c r="DD23" i="15"/>
  <c r="DD24" i="15" s="1"/>
  <c r="DD26" i="15" s="1"/>
  <c r="DD19" i="15"/>
  <c r="W74" i="10" l="1"/>
  <c r="W72" i="10" s="1"/>
  <c r="V83" i="10"/>
  <c r="X83" i="10" s="1"/>
  <c r="V82" i="10"/>
  <c r="X82" i="10" s="1"/>
  <c r="U61" i="10"/>
  <c r="V61" i="10" s="1"/>
  <c r="W61" i="10" s="1"/>
  <c r="AB37" i="15"/>
  <c r="AH32" i="15" s="1"/>
  <c r="BM40" i="10"/>
  <c r="AS14" i="15"/>
  <c r="AU14" i="15" s="1"/>
  <c r="AW14" i="15" s="1"/>
  <c r="AS15" i="15"/>
  <c r="AU15" i="15" s="1"/>
  <c r="AW15" i="15" s="1"/>
  <c r="AS16" i="15"/>
  <c r="AU16" i="15" s="1"/>
  <c r="AS17" i="15"/>
  <c r="AU17" i="15" s="1"/>
  <c r="AN27" i="15"/>
  <c r="AN25" i="15"/>
  <c r="AQ16" i="15"/>
  <c r="BJ16" i="15" s="1"/>
  <c r="AZ28" i="15"/>
  <c r="AY28" i="15"/>
  <c r="AS28" i="15"/>
  <c r="AU28" i="15" s="1"/>
  <c r="AW28" i="15" s="1"/>
  <c r="AZ27" i="15"/>
  <c r="AY27" i="15"/>
  <c r="AS27" i="15"/>
  <c r="AU27" i="15" s="1"/>
  <c r="AW27" i="15" s="1"/>
  <c r="AZ26" i="15"/>
  <c r="AY26" i="15"/>
  <c r="AS26" i="15"/>
  <c r="AU26" i="15" s="1"/>
  <c r="AW26" i="15" s="1"/>
  <c r="AZ25" i="15"/>
  <c r="AY25" i="15"/>
  <c r="AS25" i="15"/>
  <c r="AU25" i="15" s="1"/>
  <c r="AW25" i="15" s="1"/>
  <c r="AZ24" i="15"/>
  <c r="AY24" i="15"/>
  <c r="AS24" i="15"/>
  <c r="AU24" i="15" s="1"/>
  <c r="AW24" i="15" s="1"/>
  <c r="AZ23" i="15"/>
  <c r="AY23" i="15"/>
  <c r="AS23" i="15"/>
  <c r="AU23" i="15" s="1"/>
  <c r="AW23" i="15" s="1"/>
  <c r="AS22" i="15"/>
  <c r="AU22" i="15" s="1"/>
  <c r="AW22" i="15" s="1"/>
  <c r="AS21" i="15"/>
  <c r="AU21" i="15" s="1"/>
  <c r="AW21" i="15" s="1"/>
  <c r="AS20" i="15"/>
  <c r="AU20" i="15" s="1"/>
  <c r="AW20" i="15" s="1"/>
  <c r="AS19" i="15"/>
  <c r="AU19" i="15" s="1"/>
  <c r="AW19" i="15" s="1"/>
  <c r="AZ18" i="15"/>
  <c r="AY18" i="15"/>
  <c r="AS18" i="15"/>
  <c r="AU18" i="15" s="1"/>
  <c r="AW18" i="15" s="1"/>
  <c r="AS13" i="15"/>
  <c r="AU13" i="15" s="1"/>
  <c r="AW13" i="15" s="1"/>
  <c r="AZ12" i="15"/>
  <c r="AY12" i="15"/>
  <c r="AS12" i="15"/>
  <c r="AU12" i="15" s="1"/>
  <c r="AW12" i="15" s="1"/>
  <c r="AZ11" i="15"/>
  <c r="AS11" i="15"/>
  <c r="AK10" i="15"/>
  <c r="AK11" i="15"/>
  <c r="AK12" i="15"/>
  <c r="AK13" i="15"/>
  <c r="AK15" i="15"/>
  <c r="AK16" i="15"/>
  <c r="AK17" i="15"/>
  <c r="AK18" i="15"/>
  <c r="AK19" i="15"/>
  <c r="AK20" i="15"/>
  <c r="AK34" i="15" s="1"/>
  <c r="AK21" i="15"/>
  <c r="AK22" i="15"/>
  <c r="AK23" i="15"/>
  <c r="AK24" i="15"/>
  <c r="AK25" i="15"/>
  <c r="AK27" i="15"/>
  <c r="AK28" i="15"/>
  <c r="AK29" i="15"/>
  <c r="AG15" i="15"/>
  <c r="AG22" i="15"/>
  <c r="AN20" i="10"/>
  <c r="AH31" i="15"/>
  <c r="AH35" i="15"/>
  <c r="AH30" i="15"/>
  <c r="AG20" i="10"/>
  <c r="AJ31" i="15"/>
  <c r="AJ32" i="15"/>
  <c r="AJ33" i="15"/>
  <c r="AJ34" i="15"/>
  <c r="AJ35" i="15"/>
  <c r="AI24" i="15"/>
  <c r="AI25" i="15"/>
  <c r="AI26" i="15"/>
  <c r="AI27" i="15"/>
  <c r="AI28" i="15"/>
  <c r="AI23" i="15"/>
  <c r="AH23" i="15"/>
  <c r="AH24" i="15"/>
  <c r="AH25" i="15"/>
  <c r="AH26" i="15"/>
  <c r="AH27" i="15"/>
  <c r="AH28" i="15"/>
  <c r="AH21" i="15"/>
  <c r="AI17" i="15"/>
  <c r="AI18" i="15"/>
  <c r="AI19" i="15"/>
  <c r="AI20" i="15"/>
  <c r="AI21" i="15"/>
  <c r="AI16" i="15"/>
  <c r="AH17" i="15"/>
  <c r="AH18" i="15"/>
  <c r="AH19" i="15"/>
  <c r="AH20" i="15"/>
  <c r="AH16" i="15"/>
  <c r="AN6" i="10"/>
  <c r="AE6" i="10"/>
  <c r="AI9" i="15"/>
  <c r="AI10" i="15"/>
  <c r="AI11" i="15"/>
  <c r="AI12" i="15"/>
  <c r="AI13" i="15"/>
  <c r="AI14" i="15"/>
  <c r="AH10" i="15"/>
  <c r="AH11" i="15"/>
  <c r="AH12" i="15"/>
  <c r="AH13" i="15"/>
  <c r="AH14" i="15"/>
  <c r="AH9" i="15"/>
  <c r="AC12" i="10"/>
  <c r="AD6" i="10"/>
  <c r="AG6" i="10" s="1"/>
  <c r="Y74" i="10"/>
  <c r="Y73" i="10"/>
  <c r="AG78" i="10"/>
  <c r="AG77" i="10"/>
  <c r="T61" i="10"/>
  <c r="AK30" i="15" l="1"/>
  <c r="AK32" i="15"/>
  <c r="AK31" i="15"/>
  <c r="AK35" i="15"/>
  <c r="AK33" i="15"/>
  <c r="AK36" i="15" s="1"/>
  <c r="AL17" i="15" s="1"/>
  <c r="AP20" i="15" s="1"/>
  <c r="AQ20" i="15" s="1"/>
  <c r="AU11" i="15"/>
  <c r="AJ36" i="15"/>
  <c r="AH34" i="15"/>
  <c r="AH33" i="15"/>
  <c r="BA16" i="15"/>
  <c r="BG16" i="15"/>
  <c r="BH16" i="15" s="1"/>
  <c r="X26" i="10"/>
  <c r="AD20" i="10" s="1"/>
  <c r="I206" i="15"/>
  <c r="M213" i="15"/>
  <c r="P97" i="15"/>
  <c r="P103" i="15" s="1"/>
  <c r="P104" i="15" s="1"/>
  <c r="P105" i="15" s="1"/>
  <c r="P106" i="15" s="1"/>
  <c r="P107" i="15" s="1"/>
  <c r="P108" i="15" s="1"/>
  <c r="P109" i="15" s="1"/>
  <c r="P110" i="15" s="1"/>
  <c r="P111" i="15" s="1"/>
  <c r="P112" i="15" s="1"/>
  <c r="P113" i="15" s="1"/>
  <c r="P114" i="15" s="1"/>
  <c r="AL12" i="15" l="1"/>
  <c r="AP21" i="15" s="1"/>
  <c r="AQ21" i="15" s="1"/>
  <c r="BG21" i="15" s="1"/>
  <c r="BH21" i="15" s="1"/>
  <c r="AL13" i="15"/>
  <c r="AP27" i="15" s="1"/>
  <c r="AQ27" i="15" s="1"/>
  <c r="BJ27" i="15" s="1"/>
  <c r="AL27" i="15"/>
  <c r="AP17" i="15" s="1"/>
  <c r="AQ17" i="15" s="1"/>
  <c r="BG17" i="15" s="1"/>
  <c r="BH17" i="15" s="1"/>
  <c r="AL32" i="15"/>
  <c r="AL16" i="15"/>
  <c r="AP12" i="15" s="1"/>
  <c r="AQ12" i="15" s="1"/>
  <c r="BA12" i="15" s="1"/>
  <c r="AL15" i="15"/>
  <c r="AL28" i="15"/>
  <c r="AP18" i="15" s="1"/>
  <c r="AQ18" i="15" s="1"/>
  <c r="BJ18" i="15" s="1"/>
  <c r="AL34" i="15"/>
  <c r="AL31" i="15"/>
  <c r="AL14" i="15"/>
  <c r="BA17" i="15"/>
  <c r="BG20" i="15"/>
  <c r="BH20" i="15" s="1"/>
  <c r="BJ20" i="15"/>
  <c r="AL11" i="15"/>
  <c r="AP23" i="15" s="1"/>
  <c r="AQ23" i="15" s="1"/>
  <c r="AP11" i="15"/>
  <c r="AQ11" i="15" s="1"/>
  <c r="AL19" i="15"/>
  <c r="AP22" i="15" s="1"/>
  <c r="AQ22" i="15" s="1"/>
  <c r="BG22" i="15" s="1"/>
  <c r="BH22" i="15" s="1"/>
  <c r="AL10" i="15"/>
  <c r="AP19" i="15" s="1"/>
  <c r="AQ19" i="15" s="1"/>
  <c r="BG19" i="15" s="1"/>
  <c r="BH19" i="15" s="1"/>
  <c r="AL20" i="15"/>
  <c r="AP26" i="15" s="1"/>
  <c r="AQ26" i="15" s="1"/>
  <c r="AL35" i="15"/>
  <c r="AL21" i="15"/>
  <c r="AP28" i="15" s="1"/>
  <c r="AQ28" i="15" s="1"/>
  <c r="BA28" i="15" s="1"/>
  <c r="AL26" i="15"/>
  <c r="AL23" i="15"/>
  <c r="AP13" i="15" s="1"/>
  <c r="AQ13" i="15" s="1"/>
  <c r="AL22" i="15"/>
  <c r="AL24" i="15"/>
  <c r="AP14" i="15" s="1"/>
  <c r="AQ14" i="15" s="1"/>
  <c r="BA14" i="15" s="1"/>
  <c r="AL18" i="15"/>
  <c r="AP24" i="15" s="1"/>
  <c r="AQ24" i="15" s="1"/>
  <c r="BA24" i="15" s="1"/>
  <c r="AL25" i="15"/>
  <c r="AP15" i="15" s="1"/>
  <c r="AQ15" i="15" s="1"/>
  <c r="BA15" i="15" s="1"/>
  <c r="AL33" i="15"/>
  <c r="BA20" i="15"/>
  <c r="BD16" i="15"/>
  <c r="BB16" i="15"/>
  <c r="BC16" i="15"/>
  <c r="P116" i="15"/>
  <c r="P117" i="15" s="1"/>
  <c r="P118" i="15" s="1"/>
  <c r="P119" i="15" s="1"/>
  <c r="P120" i="15" s="1"/>
  <c r="P121" i="15" s="1"/>
  <c r="P122" i="15" s="1"/>
  <c r="P123" i="15" s="1"/>
  <c r="P124" i="15" s="1"/>
  <c r="P125" i="15" s="1"/>
  <c r="P126" i="15" s="1"/>
  <c r="P127" i="15" s="1"/>
  <c r="P128" i="15" s="1"/>
  <c r="P129" i="15" s="1"/>
  <c r="P130" i="15" s="1"/>
  <c r="P131" i="15" s="1"/>
  <c r="P132" i="15" s="1"/>
  <c r="P133" i="15" s="1"/>
  <c r="P134" i="15" s="1"/>
  <c r="P135" i="15" s="1"/>
  <c r="P136" i="15" s="1"/>
  <c r="P137" i="15" s="1"/>
  <c r="P138" i="15" s="1"/>
  <c r="P139" i="15" s="1"/>
  <c r="P140" i="15" s="1"/>
  <c r="P141" i="15" s="1"/>
  <c r="P142" i="15" s="1"/>
  <c r="P143" i="15" s="1"/>
  <c r="P144" i="15" s="1"/>
  <c r="P145" i="15" s="1"/>
  <c r="P146" i="15" s="1"/>
  <c r="P147" i="15" s="1"/>
  <c r="P148" i="15" s="1"/>
  <c r="P149" i="15" s="1"/>
  <c r="P150" i="15" s="1"/>
  <c r="P151" i="15" s="1"/>
  <c r="P152" i="15" s="1"/>
  <c r="P153" i="15" s="1"/>
  <c r="P154" i="15" s="1"/>
  <c r="P155" i="15" s="1"/>
  <c r="P156" i="15" s="1"/>
  <c r="P157" i="15" s="1"/>
  <c r="P158" i="15" s="1"/>
  <c r="P159" i="15" s="1"/>
  <c r="P160" i="15" s="1"/>
  <c r="P161" i="15" s="1"/>
  <c r="P162" i="15" s="1"/>
  <c r="P163" i="15" s="1"/>
  <c r="P164" i="15" s="1"/>
  <c r="P165" i="15" s="1"/>
  <c r="P166" i="15" s="1"/>
  <c r="P167" i="15" s="1"/>
  <c r="P168" i="15" s="1"/>
  <c r="P169" i="15" s="1"/>
  <c r="P170" i="15" s="1"/>
  <c r="P171" i="15" s="1"/>
  <c r="P172" i="15" s="1"/>
  <c r="P173" i="15" s="1"/>
  <c r="P174" i="15" s="1"/>
  <c r="P175" i="15" s="1"/>
  <c r="P176" i="15" s="1"/>
  <c r="P177" i="15" s="1"/>
  <c r="P178" i="15" s="1"/>
  <c r="P179" i="15" s="1"/>
  <c r="P180" i="15" s="1"/>
  <c r="P181" i="15" s="1"/>
  <c r="P182" i="15" s="1"/>
  <c r="P183" i="15" s="1"/>
  <c r="P184" i="15" s="1"/>
  <c r="P185" i="15" s="1"/>
  <c r="P186" i="15" s="1"/>
  <c r="P187" i="15" s="1"/>
  <c r="P188" i="15" s="1"/>
  <c r="P189" i="15" s="1"/>
  <c r="P190" i="15" s="1"/>
  <c r="P191" i="15" s="1"/>
  <c r="P192" i="15" s="1"/>
  <c r="P193" i="15" s="1"/>
  <c r="P194" i="15" s="1"/>
  <c r="P195" i="15" s="1"/>
  <c r="P196" i="15" s="1"/>
  <c r="P197" i="15" s="1"/>
  <c r="P198" i="15" s="1"/>
  <c r="P199" i="15" s="1"/>
  <c r="P200" i="15" s="1"/>
  <c r="P201" i="15" s="1"/>
  <c r="P202" i="15" s="1"/>
  <c r="P203" i="15" s="1"/>
  <c r="P204" i="15" s="1"/>
  <c r="P205" i="15" s="1"/>
  <c r="P206" i="15" s="1"/>
  <c r="P207" i="15" s="1"/>
  <c r="P208" i="15" s="1"/>
  <c r="P209" i="15" s="1"/>
  <c r="P210" i="15" s="1"/>
  <c r="P211" i="15" s="1"/>
  <c r="P212" i="15" s="1"/>
  <c r="P213" i="15" s="1"/>
  <c r="P214" i="15" s="1"/>
  <c r="P215" i="15" s="1"/>
  <c r="P216" i="15" s="1"/>
  <c r="P217" i="15" s="1"/>
  <c r="P218" i="15" s="1"/>
  <c r="P219" i="15" s="1"/>
  <c r="P220" i="15" s="1"/>
  <c r="P221" i="15" s="1"/>
  <c r="P222" i="15" s="1"/>
  <c r="P223" i="15" s="1"/>
  <c r="P224" i="15" s="1"/>
  <c r="AL29" i="15"/>
  <c r="AL30" i="15"/>
  <c r="BE22" i="11"/>
  <c r="AZ64" i="11"/>
  <c r="BA64" i="11" s="1"/>
  <c r="AZ63" i="11"/>
  <c r="BA63" i="11" s="1"/>
  <c r="AZ62" i="11"/>
  <c r="AZ60" i="11"/>
  <c r="BA60" i="11" s="1"/>
  <c r="AZ59" i="11"/>
  <c r="BA59" i="11" s="1"/>
  <c r="AZ57" i="11"/>
  <c r="BA57" i="11" s="1"/>
  <c r="AZ56" i="11"/>
  <c r="BA56" i="11" s="1"/>
  <c r="AZ55" i="11"/>
  <c r="BA55" i="11" s="1"/>
  <c r="AZ53" i="11"/>
  <c r="BA53" i="11" s="1"/>
  <c r="AZ52" i="11"/>
  <c r="BA52" i="11" s="1"/>
  <c r="AZ51" i="11"/>
  <c r="BA51" i="11" s="1"/>
  <c r="AZ49" i="11"/>
  <c r="BA49" i="11" s="1"/>
  <c r="AZ48" i="11"/>
  <c r="BA48" i="11" s="1"/>
  <c r="AZ46" i="11"/>
  <c r="BA46" i="11" s="1"/>
  <c r="AZ45" i="11"/>
  <c r="BA45" i="11" s="1"/>
  <c r="AZ44" i="11"/>
  <c r="BA44" i="11" s="1"/>
  <c r="AZ42" i="11"/>
  <c r="BA42" i="11" s="1"/>
  <c r="AZ41" i="11"/>
  <c r="BA41" i="11" s="1"/>
  <c r="AZ40" i="11"/>
  <c r="BA40" i="11" s="1"/>
  <c r="AZ38" i="11"/>
  <c r="BA38" i="11" s="1"/>
  <c r="AZ37" i="11"/>
  <c r="BA37" i="11" s="1"/>
  <c r="AZ35" i="11"/>
  <c r="BA35" i="11" s="1"/>
  <c r="AZ34" i="11"/>
  <c r="BA34" i="11" s="1"/>
  <c r="AZ33" i="11"/>
  <c r="BA33" i="11" s="1"/>
  <c r="AZ31" i="11"/>
  <c r="BA31" i="11" s="1"/>
  <c r="AZ30" i="11"/>
  <c r="BA30" i="11" s="1"/>
  <c r="AZ29" i="11"/>
  <c r="BA29" i="11" s="1"/>
  <c r="AZ27" i="11"/>
  <c r="BA27" i="11" s="1"/>
  <c r="AZ26" i="11"/>
  <c r="BA26" i="11" s="1"/>
  <c r="AZ24" i="11"/>
  <c r="BA24" i="11" s="1"/>
  <c r="AZ23" i="11"/>
  <c r="BA23" i="11" s="1"/>
  <c r="AZ22" i="11"/>
  <c r="BA22" i="11" s="1"/>
  <c r="AZ20" i="11"/>
  <c r="BA20" i="11" s="1"/>
  <c r="AZ19" i="11"/>
  <c r="BA19" i="11" s="1"/>
  <c r="AZ18" i="11"/>
  <c r="BA18" i="11" s="1"/>
  <c r="AZ16" i="11"/>
  <c r="BA16" i="11" s="1"/>
  <c r="AZ15" i="11"/>
  <c r="BA15" i="11" s="1"/>
  <c r="AZ13" i="11"/>
  <c r="BA13" i="11" s="1"/>
  <c r="AZ12" i="11"/>
  <c r="BA12" i="11" s="1"/>
  <c r="AZ11" i="11"/>
  <c r="BA11" i="11" s="1"/>
  <c r="BB11" i="11"/>
  <c r="BQ13" i="11"/>
  <c r="BQ12" i="11"/>
  <c r="BO65" i="11"/>
  <c r="BP65" i="11" s="1"/>
  <c r="BQ65" i="11" s="1"/>
  <c r="AX65" i="11"/>
  <c r="BO64" i="11"/>
  <c r="BP64" i="11" s="1"/>
  <c r="BO63" i="11"/>
  <c r="BP63" i="11" s="1"/>
  <c r="BB62" i="11"/>
  <c r="AY61" i="11"/>
  <c r="BE60" i="11"/>
  <c r="BB60" i="11"/>
  <c r="BH60" i="11" s="1"/>
  <c r="BE59" i="11"/>
  <c r="BB59" i="11"/>
  <c r="BB58" i="11"/>
  <c r="AY58" i="11"/>
  <c r="BE57" i="11"/>
  <c r="BB57" i="11"/>
  <c r="BE56" i="11"/>
  <c r="BB56" i="11"/>
  <c r="BH56" i="11" s="1"/>
  <c r="BE55" i="11"/>
  <c r="BD55" i="11"/>
  <c r="BB55" i="11"/>
  <c r="AX54" i="11"/>
  <c r="AY53" i="11"/>
  <c r="AY52" i="11"/>
  <c r="AY51" i="11"/>
  <c r="AY50" i="11"/>
  <c r="BE49" i="11"/>
  <c r="BB49" i="11"/>
  <c r="BE48" i="11"/>
  <c r="BB48" i="11"/>
  <c r="BB47" i="11"/>
  <c r="AY47" i="11"/>
  <c r="BE46" i="11"/>
  <c r="BB46" i="11"/>
  <c r="BH46" i="11" s="1"/>
  <c r="BE45" i="11"/>
  <c r="BB45" i="11"/>
  <c r="BE44" i="11"/>
  <c r="BD44" i="11"/>
  <c r="BB44" i="11"/>
  <c r="AX43" i="11"/>
  <c r="AY42" i="11"/>
  <c r="AY41" i="11"/>
  <c r="AY40" i="11"/>
  <c r="BB40" i="11" s="1"/>
  <c r="AY39" i="11"/>
  <c r="BB39" i="11" s="1"/>
  <c r="BE38" i="11"/>
  <c r="BB38" i="11"/>
  <c r="BE37" i="11"/>
  <c r="BB37" i="11"/>
  <c r="BB36" i="11"/>
  <c r="BH36" i="11" s="1"/>
  <c r="AY36" i="11"/>
  <c r="BE35" i="11"/>
  <c r="BB35" i="11"/>
  <c r="BE34" i="11"/>
  <c r="BB34" i="11"/>
  <c r="BE33" i="11"/>
  <c r="BD33" i="11"/>
  <c r="BB33" i="11"/>
  <c r="AX32" i="11"/>
  <c r="AY31" i="11"/>
  <c r="AY30" i="11"/>
  <c r="AY29" i="11"/>
  <c r="BB29" i="11" s="1"/>
  <c r="AY28" i="11"/>
  <c r="BE27" i="11"/>
  <c r="BB27" i="11"/>
  <c r="BE26" i="11"/>
  <c r="BB26" i="11"/>
  <c r="BH26" i="11" s="1"/>
  <c r="BB25" i="11"/>
  <c r="AY25" i="11"/>
  <c r="BE24" i="11"/>
  <c r="BB24" i="11"/>
  <c r="BE23" i="11"/>
  <c r="BB23" i="11"/>
  <c r="BH23" i="11" s="1"/>
  <c r="BD22" i="11"/>
  <c r="BB22" i="11"/>
  <c r="BH22" i="11" s="1"/>
  <c r="AX21" i="11"/>
  <c r="AY20" i="11"/>
  <c r="AY19" i="11"/>
  <c r="AY18" i="11"/>
  <c r="BB18" i="11" s="1"/>
  <c r="AY17" i="11"/>
  <c r="BB17" i="11" s="1"/>
  <c r="BB16" i="11"/>
  <c r="BB15" i="11"/>
  <c r="BB14" i="11"/>
  <c r="AY14" i="11"/>
  <c r="BB13" i="11"/>
  <c r="BB12" i="11"/>
  <c r="BE16" i="15" l="1"/>
  <c r="BH29" i="11"/>
  <c r="BH34" i="11"/>
  <c r="BH35" i="11"/>
  <c r="BH45" i="11"/>
  <c r="BH49" i="11"/>
  <c r="BH59" i="11"/>
  <c r="BH38" i="11"/>
  <c r="BH40" i="11"/>
  <c r="BH57" i="11"/>
  <c r="BH37" i="11"/>
  <c r="BH27" i="11"/>
  <c r="BH44" i="11"/>
  <c r="BH47" i="11"/>
  <c r="BH48" i="11"/>
  <c r="BJ21" i="15"/>
  <c r="BH33" i="11"/>
  <c r="BH24" i="11"/>
  <c r="BH55" i="11"/>
  <c r="BH58" i="11"/>
  <c r="BA21" i="15"/>
  <c r="BD21" i="15" s="1"/>
  <c r="BH25" i="11"/>
  <c r="BN14" i="15"/>
  <c r="BJ17" i="15"/>
  <c r="BG52" i="11"/>
  <c r="BJ12" i="15"/>
  <c r="BG12" i="15"/>
  <c r="BH12" i="15" s="1"/>
  <c r="BG11" i="15"/>
  <c r="BH11" i="15" s="1"/>
  <c r="BA11" i="15"/>
  <c r="BB11" i="15" s="1"/>
  <c r="AP25" i="15"/>
  <c r="AQ25" i="15" s="1"/>
  <c r="BJ25" i="15" s="1"/>
  <c r="EK16" i="15"/>
  <c r="CU16" i="15"/>
  <c r="EK28" i="15"/>
  <c r="BD28" i="15"/>
  <c r="BC17" i="15"/>
  <c r="BN15" i="15"/>
  <c r="BB20" i="15"/>
  <c r="BA18" i="15"/>
  <c r="BC18" i="15" s="1"/>
  <c r="BG18" i="15"/>
  <c r="BH18" i="15" s="1"/>
  <c r="BC28" i="15"/>
  <c r="BB28" i="15"/>
  <c r="BE28" i="15" s="1"/>
  <c r="BB17" i="15"/>
  <c r="BD17" i="15"/>
  <c r="BD20" i="15"/>
  <c r="BG15" i="15"/>
  <c r="BH15" i="15" s="1"/>
  <c r="BJ15" i="15"/>
  <c r="BG26" i="15"/>
  <c r="BH26" i="15" s="1"/>
  <c r="BJ26" i="15"/>
  <c r="BC20" i="15"/>
  <c r="BG24" i="15"/>
  <c r="BH24" i="15" s="1"/>
  <c r="BJ24" i="15"/>
  <c r="BA19" i="15"/>
  <c r="BJ19" i="15"/>
  <c r="BO14" i="15" s="1"/>
  <c r="BJ11" i="15"/>
  <c r="BA13" i="15"/>
  <c r="BJ13" i="15"/>
  <c r="BG23" i="15"/>
  <c r="BH23" i="15" s="1"/>
  <c r="BJ23" i="15"/>
  <c r="BA23" i="15"/>
  <c r="BG13" i="15"/>
  <c r="BH13" i="15" s="1"/>
  <c r="BA26" i="15"/>
  <c r="BG14" i="15"/>
  <c r="BH14" i="15" s="1"/>
  <c r="BJ14" i="15"/>
  <c r="BG28" i="15"/>
  <c r="BH28" i="15" s="1"/>
  <c r="BJ28" i="15"/>
  <c r="BO18" i="15" s="1"/>
  <c r="BA22" i="15"/>
  <c r="BJ22" i="15"/>
  <c r="BD14" i="15"/>
  <c r="BC14" i="15"/>
  <c r="BB14" i="15"/>
  <c r="BE14" i="15" s="1"/>
  <c r="BB15" i="15"/>
  <c r="BC15" i="15"/>
  <c r="BD15" i="15"/>
  <c r="BD24" i="15"/>
  <c r="BB24" i="15"/>
  <c r="BC24" i="15"/>
  <c r="BD12" i="15"/>
  <c r="BB12" i="15"/>
  <c r="BC12" i="15"/>
  <c r="BA27" i="15"/>
  <c r="BG27" i="15"/>
  <c r="BH27" i="15" s="1"/>
  <c r="BE28" i="11"/>
  <c r="BE36" i="11"/>
  <c r="BE50" i="11"/>
  <c r="BE42" i="11"/>
  <c r="BG63" i="11"/>
  <c r="BC59" i="11"/>
  <c r="BC15" i="11"/>
  <c r="BC37" i="11"/>
  <c r="BC48" i="11"/>
  <c r="BC11" i="11"/>
  <c r="BC26" i="11"/>
  <c r="BE62" i="11"/>
  <c r="BB50" i="11"/>
  <c r="BH50" i="11" s="1"/>
  <c r="BB51" i="11"/>
  <c r="BH51" i="11" s="1"/>
  <c r="BC18" i="11"/>
  <c r="BB28" i="11"/>
  <c r="BH28" i="11" s="1"/>
  <c r="BE25" i="11"/>
  <c r="BE29" i="11"/>
  <c r="BE39" i="11"/>
  <c r="BE51" i="11"/>
  <c r="BE61" i="11"/>
  <c r="BE40" i="11"/>
  <c r="BE31" i="11"/>
  <c r="BB61" i="11"/>
  <c r="BG31" i="11"/>
  <c r="BG41" i="11"/>
  <c r="BE47" i="11"/>
  <c r="BE53" i="11"/>
  <c r="BE58" i="11"/>
  <c r="BQ63" i="11"/>
  <c r="BE63" i="11"/>
  <c r="BB64" i="11"/>
  <c r="BB63" i="11"/>
  <c r="AY21" i="11"/>
  <c r="D36" i="3" s="1"/>
  <c r="BE30" i="11"/>
  <c r="BB31" i="11"/>
  <c r="BB30" i="11"/>
  <c r="AY32" i="11"/>
  <c r="E36" i="3" s="1"/>
  <c r="BE41" i="11"/>
  <c r="BB42" i="11"/>
  <c r="BB41" i="11"/>
  <c r="AY43" i="11"/>
  <c r="F36" i="3" s="1"/>
  <c r="BE52" i="11"/>
  <c r="AY54" i="11"/>
  <c r="BB53" i="11"/>
  <c r="BB52" i="11"/>
  <c r="BE64" i="11"/>
  <c r="BQ68" i="11"/>
  <c r="BQ64" i="11"/>
  <c r="BB19" i="11"/>
  <c r="BB20" i="11"/>
  <c r="BB21" i="11" s="1"/>
  <c r="AY65" i="11"/>
  <c r="H36" i="3" s="1"/>
  <c r="BQ69" i="11"/>
  <c r="BI48" i="11" l="1"/>
  <c r="BI59" i="11"/>
  <c r="BE15" i="15"/>
  <c r="BE12" i="15"/>
  <c r="BC21" i="15"/>
  <c r="BB21" i="15"/>
  <c r="BE24" i="15"/>
  <c r="BC53" i="11"/>
  <c r="BC54" i="11" s="1"/>
  <c r="BE54" i="11"/>
  <c r="BH31" i="11"/>
  <c r="BA61" i="11"/>
  <c r="BC61" i="11" s="1"/>
  <c r="BG37" i="11"/>
  <c r="BE20" i="15"/>
  <c r="BE17" i="15"/>
  <c r="BG64" i="11"/>
  <c r="BA54" i="11"/>
  <c r="G37" i="3" s="1"/>
  <c r="G111" i="3" s="1"/>
  <c r="G169" i="3" s="1"/>
  <c r="BI37" i="11"/>
  <c r="BH41" i="11"/>
  <c r="BO15" i="15"/>
  <c r="BH64" i="11"/>
  <c r="BC51" i="11"/>
  <c r="BH63" i="11"/>
  <c r="BH61" i="11"/>
  <c r="BC27" i="11"/>
  <c r="BI26" i="11"/>
  <c r="BG23" i="11"/>
  <c r="BH39" i="11"/>
  <c r="BH42" i="11"/>
  <c r="BH52" i="11"/>
  <c r="BC60" i="11"/>
  <c r="BC52" i="11"/>
  <c r="G36" i="3"/>
  <c r="BG56" i="11"/>
  <c r="BG46" i="11"/>
  <c r="BH53" i="11"/>
  <c r="BH30" i="11"/>
  <c r="BH62" i="11"/>
  <c r="BA25" i="15"/>
  <c r="BC25" i="15" s="1"/>
  <c r="BN18" i="15"/>
  <c r="BO16" i="15"/>
  <c r="BO22" i="15" s="1"/>
  <c r="BG25" i="15"/>
  <c r="BH25" i="15" s="1"/>
  <c r="BN17" i="15" s="1"/>
  <c r="BN16" i="15"/>
  <c r="BN22" i="15" s="1"/>
  <c r="BO17" i="15"/>
  <c r="EK17" i="15"/>
  <c r="EK12" i="15"/>
  <c r="EK20" i="15"/>
  <c r="EK13" i="15"/>
  <c r="BO13" i="15"/>
  <c r="BO21" i="15" s="1"/>
  <c r="CU14" i="15"/>
  <c r="EK15" i="15"/>
  <c r="EK21" i="15"/>
  <c r="EK19" i="15"/>
  <c r="EK14" i="15"/>
  <c r="EK26" i="15"/>
  <c r="EJ30" i="15"/>
  <c r="EK24" i="15"/>
  <c r="CU24" i="15"/>
  <c r="CU15" i="15"/>
  <c r="CU12" i="15"/>
  <c r="BN13" i="15"/>
  <c r="BD18" i="15"/>
  <c r="BB18" i="15"/>
  <c r="BE18" i="15" s="1"/>
  <c r="CU20" i="15"/>
  <c r="CU17" i="15"/>
  <c r="BO23" i="15"/>
  <c r="CU21" i="15"/>
  <c r="CU28" i="15"/>
  <c r="BJ30" i="15"/>
  <c r="BC23" i="15"/>
  <c r="BD23" i="15"/>
  <c r="BB23" i="15"/>
  <c r="BE23" i="15" s="1"/>
  <c r="BM16" i="15" s="1"/>
  <c r="BC13" i="15"/>
  <c r="BB13" i="15"/>
  <c r="BD13" i="15"/>
  <c r="BC19" i="15"/>
  <c r="BD19" i="15"/>
  <c r="BB19" i="15"/>
  <c r="BD26" i="15"/>
  <c r="BB26" i="15"/>
  <c r="BC11" i="15"/>
  <c r="BE11" i="15" s="1"/>
  <c r="BD11" i="15"/>
  <c r="BC26" i="15"/>
  <c r="BB22" i="15"/>
  <c r="BD22" i="15"/>
  <c r="BC22" i="15"/>
  <c r="BB27" i="15"/>
  <c r="BC27" i="15"/>
  <c r="BD27" i="15"/>
  <c r="BC16" i="11"/>
  <c r="BC49" i="11"/>
  <c r="BC19" i="11"/>
  <c r="BG48" i="11"/>
  <c r="BG59" i="11"/>
  <c r="BA50" i="11"/>
  <c r="BG26" i="11"/>
  <c r="BE32" i="11"/>
  <c r="BA17" i="11"/>
  <c r="BC17" i="11" s="1"/>
  <c r="BC40" i="11"/>
  <c r="BI51" i="11" s="1"/>
  <c r="BC41" i="11"/>
  <c r="BG40" i="11"/>
  <c r="BC42" i="11"/>
  <c r="BC20" i="11"/>
  <c r="BC21" i="11" s="1"/>
  <c r="BA39" i="11"/>
  <c r="BG38" i="11"/>
  <c r="BG42" i="11"/>
  <c r="BC31" i="11"/>
  <c r="BC30" i="11"/>
  <c r="BI30" i="11" s="1"/>
  <c r="BG29" i="11"/>
  <c r="BC29" i="11"/>
  <c r="BI29" i="11" s="1"/>
  <c r="BG60" i="11"/>
  <c r="BC36" i="11"/>
  <c r="BC33" i="11"/>
  <c r="BC35" i="11"/>
  <c r="BG33" i="11"/>
  <c r="BC34" i="11"/>
  <c r="BC38" i="11"/>
  <c r="BG53" i="11"/>
  <c r="BG51" i="11"/>
  <c r="BA36" i="11"/>
  <c r="BG34" i="11"/>
  <c r="BE65" i="11"/>
  <c r="BA21" i="11"/>
  <c r="D37" i="3" s="1"/>
  <c r="D111" i="3" s="1"/>
  <c r="D169" i="3" s="1"/>
  <c r="BC12" i="11"/>
  <c r="BA58" i="11"/>
  <c r="BG55" i="11"/>
  <c r="BC58" i="11"/>
  <c r="BC57" i="11"/>
  <c r="BC55" i="11"/>
  <c r="BC56" i="11"/>
  <c r="BA47" i="11"/>
  <c r="BC45" i="11"/>
  <c r="BI45" i="11" s="1"/>
  <c r="BG44" i="11"/>
  <c r="BC44" i="11"/>
  <c r="BC46" i="11"/>
  <c r="BC47" i="11"/>
  <c r="BI47" i="11" s="1"/>
  <c r="BG57" i="11"/>
  <c r="BE43" i="11"/>
  <c r="BA25" i="11"/>
  <c r="BG24" i="11"/>
  <c r="BG30" i="11"/>
  <c r="BC23" i="11"/>
  <c r="BG22" i="11"/>
  <c r="BC24" i="11"/>
  <c r="BC22" i="11"/>
  <c r="BI22" i="11" s="1"/>
  <c r="BC25" i="11"/>
  <c r="BA28" i="11"/>
  <c r="BG27" i="11"/>
  <c r="BG49" i="11"/>
  <c r="BC62" i="11"/>
  <c r="BI62" i="11" s="1"/>
  <c r="BG62" i="11"/>
  <c r="BC63" i="11"/>
  <c r="BI63" i="11" s="1"/>
  <c r="BC64" i="11"/>
  <c r="BI64" i="11" s="1"/>
  <c r="BG35" i="11"/>
  <c r="BG45" i="11"/>
  <c r="BC14" i="11"/>
  <c r="BC13" i="11"/>
  <c r="BA14" i="11"/>
  <c r="BB43" i="11"/>
  <c r="BA32" i="11"/>
  <c r="E37" i="3" s="1"/>
  <c r="E111" i="3" s="1"/>
  <c r="E169" i="3" s="1"/>
  <c r="BB32" i="11"/>
  <c r="BH32" i="11" s="1"/>
  <c r="BB65" i="11"/>
  <c r="BH65" i="11" s="1"/>
  <c r="BB54" i="11"/>
  <c r="BA43" i="11"/>
  <c r="BI27" i="11" l="1"/>
  <c r="BI23" i="11"/>
  <c r="BE26" i="15"/>
  <c r="BI44" i="11"/>
  <c r="BE27" i="15"/>
  <c r="BM18" i="15" s="1"/>
  <c r="BI38" i="11"/>
  <c r="BE19" i="15"/>
  <c r="BM14" i="15" s="1"/>
  <c r="BE21" i="15"/>
  <c r="BM15" i="15" s="1"/>
  <c r="BE13" i="15"/>
  <c r="BM13" i="15" s="1"/>
  <c r="BE22" i="15"/>
  <c r="BA30" i="15"/>
  <c r="BH43" i="11"/>
  <c r="BI57" i="11"/>
  <c r="BI36" i="11"/>
  <c r="BB25" i="15"/>
  <c r="BE25" i="15" s="1"/>
  <c r="BM17" i="15" s="1"/>
  <c r="BI46" i="11"/>
  <c r="BD25" i="15"/>
  <c r="BH54" i="11"/>
  <c r="BG58" i="11"/>
  <c r="BI42" i="11"/>
  <c r="BN23" i="15"/>
  <c r="BI58" i="11"/>
  <c r="BG43" i="11"/>
  <c r="F37" i="3"/>
  <c r="F111" i="3" s="1"/>
  <c r="F169" i="3" s="1"/>
  <c r="BI34" i="11"/>
  <c r="BG65" i="11"/>
  <c r="H37" i="3"/>
  <c r="BI25" i="11"/>
  <c r="BI41" i="11"/>
  <c r="BI52" i="11"/>
  <c r="BC32" i="11"/>
  <c r="BI32" i="11" s="1"/>
  <c r="BI31" i="11"/>
  <c r="BI56" i="11"/>
  <c r="BI35" i="11"/>
  <c r="BI40" i="11"/>
  <c r="BI49" i="11"/>
  <c r="BI60" i="11"/>
  <c r="BI53" i="11"/>
  <c r="BI24" i="11"/>
  <c r="BI55" i="11"/>
  <c r="BI33" i="11"/>
  <c r="BG30" i="15"/>
  <c r="BO19" i="15"/>
  <c r="BH30" i="15"/>
  <c r="ES14" i="15"/>
  <c r="EX14" i="15" s="1"/>
  <c r="EK11" i="15"/>
  <c r="EH30" i="15"/>
  <c r="EI30" i="15"/>
  <c r="EK22" i="15"/>
  <c r="ES15" i="15" s="1"/>
  <c r="EX15" i="15" s="1"/>
  <c r="EK18" i="15"/>
  <c r="EK23" i="15"/>
  <c r="ES16" i="15" s="1"/>
  <c r="EK25" i="15"/>
  <c r="ES17" i="15" s="1"/>
  <c r="EX17" i="15" s="1"/>
  <c r="FC17" i="15" s="1"/>
  <c r="EK27" i="15"/>
  <c r="ES18" i="15" s="1"/>
  <c r="EX18" i="15" s="1"/>
  <c r="FC18" i="15" s="1"/>
  <c r="CT30" i="15"/>
  <c r="CU22" i="15"/>
  <c r="DC15" i="15" s="1"/>
  <c r="CU13" i="15"/>
  <c r="CR30" i="15"/>
  <c r="CU27" i="15"/>
  <c r="DC18" i="15" s="1"/>
  <c r="BO24" i="15"/>
  <c r="BO26" i="15" s="1"/>
  <c r="CU18" i="15"/>
  <c r="CU23" i="15"/>
  <c r="DC16" i="15" s="1"/>
  <c r="CS30" i="15"/>
  <c r="CU26" i="15"/>
  <c r="CU19" i="15"/>
  <c r="DC14" i="15" s="1"/>
  <c r="CU25" i="15"/>
  <c r="BN21" i="15"/>
  <c r="BN24" i="15" s="1"/>
  <c r="BN19" i="15"/>
  <c r="BC30" i="15"/>
  <c r="BD30" i="15"/>
  <c r="BG47" i="11"/>
  <c r="BG50" i="11"/>
  <c r="BG32" i="11"/>
  <c r="BC50" i="11"/>
  <c r="BG61" i="11"/>
  <c r="BC65" i="11"/>
  <c r="BI65" i="11" s="1"/>
  <c r="BG25" i="11"/>
  <c r="BG54" i="11"/>
  <c r="BG36" i="11"/>
  <c r="BG39" i="11"/>
  <c r="BC39" i="11"/>
  <c r="BC28" i="11"/>
  <c r="BI28" i="11" s="1"/>
  <c r="BG28" i="11"/>
  <c r="H111" i="3" l="1"/>
  <c r="H169" i="3" s="1"/>
  <c r="B18" i="2"/>
  <c r="BB30" i="15"/>
  <c r="BE30" i="15" s="1"/>
  <c r="BI43" i="11"/>
  <c r="J111" i="3"/>
  <c r="J169" i="3" s="1"/>
  <c r="BI39" i="11"/>
  <c r="BI54" i="11"/>
  <c r="BI50" i="11"/>
  <c r="FC15" i="15"/>
  <c r="FC23" i="15" s="1"/>
  <c r="D33" i="3" s="1"/>
  <c r="D109" i="3" s="1"/>
  <c r="EX23" i="15"/>
  <c r="E33" i="3" s="1"/>
  <c r="E109" i="3" s="1"/>
  <c r="FC14" i="15"/>
  <c r="BI61" i="11"/>
  <c r="ES22" i="15"/>
  <c r="F32" i="3" s="1"/>
  <c r="F108" i="3" s="1"/>
  <c r="F166" i="3" s="1"/>
  <c r="EX16" i="15"/>
  <c r="FC16" i="15" s="1"/>
  <c r="BN26" i="15"/>
  <c r="ES23" i="15"/>
  <c r="F33" i="3" s="1"/>
  <c r="F109" i="3" s="1"/>
  <c r="ES13" i="15"/>
  <c r="EX13" i="15" s="1"/>
  <c r="DC17" i="15"/>
  <c r="DC23" i="15" s="1"/>
  <c r="G33" i="3" s="1"/>
  <c r="G109" i="3" s="1"/>
  <c r="EK30" i="15"/>
  <c r="DC22" i="15"/>
  <c r="G32" i="3" s="1"/>
  <c r="G108" i="3" s="1"/>
  <c r="G166" i="3" s="1"/>
  <c r="DC13" i="15"/>
  <c r="BM22" i="15"/>
  <c r="H32" i="3" s="1"/>
  <c r="H108" i="3" s="1"/>
  <c r="H166" i="3" s="1"/>
  <c r="BM23" i="15"/>
  <c r="H33" i="3" s="1"/>
  <c r="H109" i="3" s="1"/>
  <c r="CU30" i="15"/>
  <c r="F75" i="11"/>
  <c r="J108" i="3" l="1"/>
  <c r="J166" i="3" s="1"/>
  <c r="FC22" i="15"/>
  <c r="D32" i="3" s="1"/>
  <c r="D108" i="3" s="1"/>
  <c r="D166" i="3" s="1"/>
  <c r="EX21" i="15"/>
  <c r="E31" i="3" s="1"/>
  <c r="EX22" i="15"/>
  <c r="E32" i="3" s="1"/>
  <c r="E108" i="3" s="1"/>
  <c r="E166" i="3" s="1"/>
  <c r="ES19" i="15"/>
  <c r="ES21" i="15"/>
  <c r="F31" i="3" s="1"/>
  <c r="DC21" i="15"/>
  <c r="DC19" i="15"/>
  <c r="BM21" i="15"/>
  <c r="BM19" i="15"/>
  <c r="Y10" i="13"/>
  <c r="B42" i="13"/>
  <c r="B25" i="13"/>
  <c r="C25" i="13"/>
  <c r="AB60" i="13"/>
  <c r="Z60" i="13"/>
  <c r="Y60" i="13"/>
  <c r="Y59" i="13"/>
  <c r="AA59" i="13" s="1"/>
  <c r="Y58" i="13"/>
  <c r="AC58" i="13" s="1"/>
  <c r="AB57" i="13"/>
  <c r="Y57" i="13"/>
  <c r="AA57" i="13" s="1"/>
  <c r="Y55" i="13"/>
  <c r="AA55" i="13" s="1"/>
  <c r="X54" i="13"/>
  <c r="W54" i="13"/>
  <c r="P79" i="13"/>
  <c r="Y53" i="13"/>
  <c r="Y52" i="13"/>
  <c r="Y25" i="13"/>
  <c r="Y24" i="13"/>
  <c r="Y23" i="13"/>
  <c r="Y21" i="13"/>
  <c r="Y20" i="13"/>
  <c r="AB54" i="13"/>
  <c r="T59" i="13"/>
  <c r="Y15" i="13"/>
  <c r="F14" i="13" s="1"/>
  <c r="Y14" i="13"/>
  <c r="AB55" i="13"/>
  <c r="T57" i="13"/>
  <c r="Y13" i="13"/>
  <c r="T56" i="13"/>
  <c r="Y12" i="13"/>
  <c r="T55" i="13"/>
  <c r="Y11" i="13"/>
  <c r="T54" i="13"/>
  <c r="AC38" i="13"/>
  <c r="Z38" i="13" s="1"/>
  <c r="Y38" i="13"/>
  <c r="W38" i="13"/>
  <c r="AC36" i="13"/>
  <c r="AC35" i="13"/>
  <c r="Z35" i="13" s="1"/>
  <c r="Y35" i="13"/>
  <c r="W35" i="13"/>
  <c r="AC34" i="13"/>
  <c r="Z34" i="13" s="1"/>
  <c r="Y34" i="13"/>
  <c r="W34" i="13"/>
  <c r="AC33" i="13"/>
  <c r="Z33" i="13" s="1"/>
  <c r="Y33" i="13"/>
  <c r="W33" i="13"/>
  <c r="AC32" i="13"/>
  <c r="Z32" i="13" s="1"/>
  <c r="Y32" i="13"/>
  <c r="W32" i="13"/>
  <c r="O47" i="13"/>
  <c r="U46" i="13"/>
  <c r="U45" i="13" s="1"/>
  <c r="S46" i="13"/>
  <c r="T45" i="13" s="1"/>
  <c r="AI55" i="13"/>
  <c r="X45" i="13"/>
  <c r="Y44" i="13" s="1"/>
  <c r="B73" i="12"/>
  <c r="B60" i="12"/>
  <c r="B47" i="12"/>
  <c r="B34" i="12"/>
  <c r="C35" i="3" s="1"/>
  <c r="B21" i="12"/>
  <c r="C34" i="3" l="1"/>
  <c r="E107" i="3"/>
  <c r="E30" i="3"/>
  <c r="BM24" i="15"/>
  <c r="H31" i="3"/>
  <c r="H30" i="3" s="1"/>
  <c r="FC19" i="15"/>
  <c r="FC21" i="15"/>
  <c r="DC24" i="15"/>
  <c r="G31" i="3"/>
  <c r="F107" i="3"/>
  <c r="F30" i="3"/>
  <c r="F27" i="13"/>
  <c r="G27" i="13" s="1"/>
  <c r="F78" i="13"/>
  <c r="G78" i="13" s="1"/>
  <c r="F44" i="13"/>
  <c r="G44" i="13" s="1"/>
  <c r="F10" i="13"/>
  <c r="G10" i="13" s="1"/>
  <c r="F61" i="13"/>
  <c r="G61" i="13" s="1"/>
  <c r="F29" i="13"/>
  <c r="G29" i="13" s="1"/>
  <c r="L46" i="13" s="1"/>
  <c r="F46" i="13"/>
  <c r="G46" i="13" s="1"/>
  <c r="F12" i="13"/>
  <c r="G12" i="13" s="1"/>
  <c r="F80" i="13"/>
  <c r="F63" i="13"/>
  <c r="G63" i="13" s="1"/>
  <c r="F31" i="13"/>
  <c r="G31" i="13" s="1"/>
  <c r="F65" i="13"/>
  <c r="F82" i="13"/>
  <c r="F48" i="13"/>
  <c r="F36" i="13"/>
  <c r="F70" i="13"/>
  <c r="F87" i="13"/>
  <c r="F53" i="13"/>
  <c r="F19" i="13"/>
  <c r="F41" i="13"/>
  <c r="G41" i="13" s="1"/>
  <c r="F75" i="13"/>
  <c r="G75" i="13" s="1"/>
  <c r="F92" i="13"/>
  <c r="G92" i="13" s="1"/>
  <c r="F58" i="13"/>
  <c r="G58" i="13" s="1"/>
  <c r="F24" i="13"/>
  <c r="G24" i="13" s="1"/>
  <c r="D64" i="3" s="1"/>
  <c r="F37" i="13"/>
  <c r="F20" i="13"/>
  <c r="G20" i="13" s="1"/>
  <c r="H20" i="13" s="1"/>
  <c r="F54" i="13"/>
  <c r="G54" i="13" s="1"/>
  <c r="F88" i="13"/>
  <c r="G88" i="13" s="1"/>
  <c r="F71" i="13"/>
  <c r="G71" i="13" s="1"/>
  <c r="F26" i="13"/>
  <c r="G26" i="13" s="1"/>
  <c r="F43" i="13"/>
  <c r="F9" i="13"/>
  <c r="F77" i="13"/>
  <c r="F60" i="13"/>
  <c r="F28" i="13"/>
  <c r="G28" i="13" s="1"/>
  <c r="F62" i="13"/>
  <c r="G62" i="13" s="1"/>
  <c r="F79" i="13"/>
  <c r="G79" i="13" s="1"/>
  <c r="F11" i="13"/>
  <c r="G11" i="13" s="1"/>
  <c r="F45" i="13"/>
  <c r="G45" i="13" s="1"/>
  <c r="F32" i="13"/>
  <c r="G32" i="13" s="1"/>
  <c r="F15" i="13"/>
  <c r="G15" i="13" s="1"/>
  <c r="F66" i="13"/>
  <c r="G66" i="13" s="1"/>
  <c r="F83" i="13"/>
  <c r="G83" i="13" s="1"/>
  <c r="F49" i="13"/>
  <c r="G49" i="13" s="1"/>
  <c r="F39" i="13"/>
  <c r="F73" i="13"/>
  <c r="G73" i="13" s="1"/>
  <c r="F90" i="13"/>
  <c r="G90" i="13" s="1"/>
  <c r="F56" i="13"/>
  <c r="G56" i="13" s="1"/>
  <c r="F22" i="13"/>
  <c r="G22" i="13" s="1"/>
  <c r="D62" i="3" s="1"/>
  <c r="F40" i="13"/>
  <c r="F23" i="13"/>
  <c r="G23" i="13" s="1"/>
  <c r="D63" i="3" s="1"/>
  <c r="F74" i="13"/>
  <c r="G74" i="13" s="1"/>
  <c r="F91" i="13"/>
  <c r="G91" i="13" s="1"/>
  <c r="F57" i="13"/>
  <c r="G57" i="13" s="1"/>
  <c r="L29" i="13"/>
  <c r="P46" i="13"/>
  <c r="P45" i="13"/>
  <c r="ES24" i="15"/>
  <c r="EY22" i="15"/>
  <c r="EX19" i="15"/>
  <c r="EX24" i="15"/>
  <c r="AA60" i="13"/>
  <c r="Y43" i="13"/>
  <c r="AC55" i="13"/>
  <c r="P44" i="13"/>
  <c r="Y54" i="13"/>
  <c r="AC54" i="13" s="1"/>
  <c r="T43" i="13"/>
  <c r="Y36" i="13"/>
  <c r="Z36" i="13"/>
  <c r="T44" i="13"/>
  <c r="W36" i="13"/>
  <c r="AC60" i="13"/>
  <c r="T58" i="13"/>
  <c r="AC57" i="13"/>
  <c r="C42" i="13"/>
  <c r="AA38" i="13"/>
  <c r="P43" i="13"/>
  <c r="AA58" i="13"/>
  <c r="AC59" i="13"/>
  <c r="U44" i="13"/>
  <c r="BO64" i="12"/>
  <c r="BO63" i="12"/>
  <c r="BO62" i="12"/>
  <c r="BO61" i="12"/>
  <c r="BO60" i="12"/>
  <c r="I48" i="12"/>
  <c r="AJ61" i="12"/>
  <c r="AI72" i="12"/>
  <c r="AF72" i="12"/>
  <c r="AE72" i="12"/>
  <c r="AD72" i="12"/>
  <c r="AI71" i="12"/>
  <c r="AF71" i="12"/>
  <c r="AE71" i="12"/>
  <c r="AD71" i="12"/>
  <c r="AI70" i="12"/>
  <c r="AF70" i="12"/>
  <c r="AE70" i="12"/>
  <c r="AD70" i="12"/>
  <c r="AI67" i="12"/>
  <c r="AF67" i="12"/>
  <c r="AE67" i="12"/>
  <c r="AD67" i="12"/>
  <c r="AI66" i="12"/>
  <c r="AF66" i="12"/>
  <c r="AE66" i="12"/>
  <c r="AD66" i="12"/>
  <c r="AI64" i="12"/>
  <c r="AF64" i="12"/>
  <c r="AE64" i="12"/>
  <c r="AD64" i="12"/>
  <c r="AI63" i="12"/>
  <c r="AF63" i="12"/>
  <c r="AE63" i="12"/>
  <c r="AD63" i="12"/>
  <c r="AI62" i="12"/>
  <c r="AF62" i="12"/>
  <c r="AE62" i="12"/>
  <c r="AD62" i="12"/>
  <c r="AI61" i="12"/>
  <c r="AF61" i="12"/>
  <c r="AE61" i="12"/>
  <c r="AD61" i="12"/>
  <c r="S61" i="12"/>
  <c r="I61" i="12"/>
  <c r="T72" i="12"/>
  <c r="P72" i="12"/>
  <c r="J72" i="12"/>
  <c r="F72" i="12"/>
  <c r="T71" i="12"/>
  <c r="P71" i="12"/>
  <c r="J71" i="12"/>
  <c r="F71" i="12"/>
  <c r="T70" i="12"/>
  <c r="P70" i="12"/>
  <c r="J70" i="12"/>
  <c r="F70" i="12"/>
  <c r="R68" i="12"/>
  <c r="O68" i="12"/>
  <c r="N68" i="12"/>
  <c r="M68" i="12"/>
  <c r="H68" i="12"/>
  <c r="E68" i="12"/>
  <c r="D68" i="12"/>
  <c r="C68" i="12"/>
  <c r="T67" i="12"/>
  <c r="P67" i="12"/>
  <c r="J67" i="12"/>
  <c r="F67" i="12"/>
  <c r="T66" i="12"/>
  <c r="P66" i="12"/>
  <c r="J66" i="12"/>
  <c r="F66" i="12"/>
  <c r="R65" i="12"/>
  <c r="O65" i="12"/>
  <c r="M65" i="12"/>
  <c r="H65" i="12"/>
  <c r="E65" i="12"/>
  <c r="D65" i="12"/>
  <c r="C65" i="12"/>
  <c r="T64" i="12"/>
  <c r="P64" i="12"/>
  <c r="J64" i="12"/>
  <c r="F64" i="12"/>
  <c r="T63" i="12"/>
  <c r="P63" i="12"/>
  <c r="N65" i="12"/>
  <c r="AE65" i="12" s="1"/>
  <c r="J63" i="12"/>
  <c r="F63" i="12"/>
  <c r="T62" i="12"/>
  <c r="P62" i="12"/>
  <c r="J62" i="12"/>
  <c r="F62" i="12"/>
  <c r="T61" i="12"/>
  <c r="P61" i="12"/>
  <c r="J61" i="12"/>
  <c r="F61" i="12"/>
  <c r="G61" i="12" s="1"/>
  <c r="R13" i="12"/>
  <c r="R16" i="12"/>
  <c r="R26" i="12"/>
  <c r="R29" i="12"/>
  <c r="R39" i="12"/>
  <c r="R42" i="12"/>
  <c r="R43" i="12" s="1"/>
  <c r="R47" i="12" s="1"/>
  <c r="R52" i="12"/>
  <c r="R55" i="12"/>
  <c r="AI12" i="12"/>
  <c r="AI15" i="12"/>
  <c r="AP19" i="12" s="1"/>
  <c r="AQ19" i="12" s="1"/>
  <c r="AI23" i="12"/>
  <c r="T24" i="12"/>
  <c r="AI27" i="12"/>
  <c r="T41" i="12"/>
  <c r="T31" i="12"/>
  <c r="T45" i="12"/>
  <c r="T36" i="12"/>
  <c r="T53" i="12"/>
  <c r="T57" i="12"/>
  <c r="T48" i="12"/>
  <c r="AI51" i="12"/>
  <c r="AI59" i="12"/>
  <c r="H13" i="12"/>
  <c r="H16" i="12"/>
  <c r="H26" i="12"/>
  <c r="H29" i="12"/>
  <c r="H39" i="12"/>
  <c r="H42" i="12"/>
  <c r="H52" i="12"/>
  <c r="H55" i="12"/>
  <c r="H56" i="12" s="1"/>
  <c r="J24" i="12"/>
  <c r="J41" i="12"/>
  <c r="J45" i="12"/>
  <c r="J36" i="12"/>
  <c r="J53" i="12"/>
  <c r="AI44" i="12"/>
  <c r="J48" i="12"/>
  <c r="AI9" i="12"/>
  <c r="AI10" i="12"/>
  <c r="AI11" i="12"/>
  <c r="AI13" i="12"/>
  <c r="AI14" i="12"/>
  <c r="AI18" i="12"/>
  <c r="AI19" i="12"/>
  <c r="AI22" i="12"/>
  <c r="AI25" i="12"/>
  <c r="AI33" i="12"/>
  <c r="AI35" i="12"/>
  <c r="AI37" i="12"/>
  <c r="AI38" i="12"/>
  <c r="AI39" i="12"/>
  <c r="AI41" i="12"/>
  <c r="AP21" i="12" s="1"/>
  <c r="AQ21" i="12" s="1"/>
  <c r="AI45" i="12"/>
  <c r="AI46" i="12"/>
  <c r="AI49" i="12"/>
  <c r="AI50" i="12"/>
  <c r="AI53" i="12"/>
  <c r="AI54" i="12"/>
  <c r="AP22" i="12" s="1"/>
  <c r="AQ22" i="12" s="1"/>
  <c r="AI57" i="12"/>
  <c r="AI58" i="12"/>
  <c r="T22" i="12"/>
  <c r="J23" i="12"/>
  <c r="J27" i="12"/>
  <c r="J28" i="12"/>
  <c r="J31" i="12"/>
  <c r="J35" i="12"/>
  <c r="J38" i="12"/>
  <c r="J40" i="12"/>
  <c r="J46" i="12"/>
  <c r="J50" i="12"/>
  <c r="J51" i="12"/>
  <c r="J54" i="12"/>
  <c r="J58" i="12"/>
  <c r="J59" i="12"/>
  <c r="J22" i="12"/>
  <c r="T59" i="12"/>
  <c r="T23" i="12"/>
  <c r="T27" i="12"/>
  <c r="T28" i="12"/>
  <c r="T35" i="12"/>
  <c r="T38" i="12"/>
  <c r="T40" i="12"/>
  <c r="T46" i="12"/>
  <c r="T50" i="12"/>
  <c r="T51" i="12"/>
  <c r="T54" i="12"/>
  <c r="T58" i="12"/>
  <c r="P35" i="12"/>
  <c r="P36" i="12"/>
  <c r="P37" i="12"/>
  <c r="P38" i="12"/>
  <c r="P40" i="12"/>
  <c r="P41" i="12"/>
  <c r="P44" i="12"/>
  <c r="P45" i="12"/>
  <c r="P46" i="12"/>
  <c r="P48" i="12"/>
  <c r="Q48" i="12" s="1"/>
  <c r="P49" i="12"/>
  <c r="P51" i="12"/>
  <c r="P53" i="12"/>
  <c r="P54" i="12"/>
  <c r="P57" i="12"/>
  <c r="P58" i="12"/>
  <c r="P59" i="12"/>
  <c r="P9" i="12"/>
  <c r="Q9" i="12" s="1"/>
  <c r="F14" i="12"/>
  <c r="F15" i="12"/>
  <c r="F19" i="12"/>
  <c r="F27" i="12"/>
  <c r="F28" i="12"/>
  <c r="F32" i="12"/>
  <c r="F35" i="12"/>
  <c r="F36" i="12"/>
  <c r="F37" i="12"/>
  <c r="F38" i="12"/>
  <c r="F40" i="12"/>
  <c r="F41" i="12"/>
  <c r="F44" i="12"/>
  <c r="F45" i="12"/>
  <c r="F46" i="12"/>
  <c r="F48" i="12"/>
  <c r="F49" i="12"/>
  <c r="F50" i="12"/>
  <c r="F51" i="12"/>
  <c r="F53" i="12"/>
  <c r="F54" i="12"/>
  <c r="F57" i="12"/>
  <c r="F58" i="12"/>
  <c r="F59" i="12"/>
  <c r="BY64" i="12"/>
  <c r="BW64" i="12"/>
  <c r="BM64" i="12"/>
  <c r="BY63" i="12"/>
  <c r="BW63" i="12"/>
  <c r="BM63" i="12"/>
  <c r="BY62" i="12"/>
  <c r="BW62" i="12"/>
  <c r="BM62" i="12"/>
  <c r="BY61" i="12"/>
  <c r="BW61" i="12"/>
  <c r="BM61" i="12"/>
  <c r="BE23" i="12"/>
  <c r="BD23" i="12"/>
  <c r="BB23" i="12"/>
  <c r="BA23" i="12"/>
  <c r="AZ23" i="12"/>
  <c r="AV23" i="12"/>
  <c r="AF59" i="12"/>
  <c r="AE59" i="12"/>
  <c r="AD59" i="12"/>
  <c r="BY60" i="12"/>
  <c r="BW60" i="12"/>
  <c r="BM60" i="12"/>
  <c r="BE22" i="12"/>
  <c r="BD22" i="12"/>
  <c r="BB22" i="12"/>
  <c r="BA22" i="12"/>
  <c r="AZ22" i="12"/>
  <c r="AV22" i="12"/>
  <c r="AF58" i="12"/>
  <c r="AE58" i="12"/>
  <c r="AD58" i="12"/>
  <c r="BW59" i="12"/>
  <c r="BM59" i="12"/>
  <c r="BE21" i="12"/>
  <c r="BD21" i="12"/>
  <c r="BB21" i="12"/>
  <c r="BA21" i="12"/>
  <c r="AZ21" i="12"/>
  <c r="AV21" i="12"/>
  <c r="AF57" i="12"/>
  <c r="AE57" i="12"/>
  <c r="AD57" i="12"/>
  <c r="BW58" i="12"/>
  <c r="BM58" i="12"/>
  <c r="BE20" i="12"/>
  <c r="BD20" i="12"/>
  <c r="BB20" i="12"/>
  <c r="BA20" i="12"/>
  <c r="AZ20" i="12"/>
  <c r="AV20" i="12"/>
  <c r="BW57" i="12"/>
  <c r="BM57" i="12"/>
  <c r="BE19" i="12"/>
  <c r="BD19" i="12"/>
  <c r="BB19" i="12"/>
  <c r="BA19" i="12"/>
  <c r="AZ19" i="12"/>
  <c r="AV19" i="12"/>
  <c r="O55" i="12"/>
  <c r="N55" i="12"/>
  <c r="M55" i="12"/>
  <c r="E55" i="12"/>
  <c r="D55" i="12"/>
  <c r="C55" i="12"/>
  <c r="BW56" i="12"/>
  <c r="BM56" i="12"/>
  <c r="AV18" i="12"/>
  <c r="AF54" i="12"/>
  <c r="AE54" i="12"/>
  <c r="AD54" i="12"/>
  <c r="BW55" i="12"/>
  <c r="BM55" i="12"/>
  <c r="BE17" i="12"/>
  <c r="BD17" i="12"/>
  <c r="BC17" i="12"/>
  <c r="BB17" i="12"/>
  <c r="BA17" i="12"/>
  <c r="AZ17" i="12"/>
  <c r="AF53" i="12"/>
  <c r="AE53" i="12"/>
  <c r="AD53" i="12"/>
  <c r="BW54" i="12"/>
  <c r="BM54" i="12"/>
  <c r="O52" i="12"/>
  <c r="M52" i="12"/>
  <c r="E52" i="12"/>
  <c r="D52" i="12"/>
  <c r="C52" i="12"/>
  <c r="BW53" i="12"/>
  <c r="BM53" i="12"/>
  <c r="AF51" i="12"/>
  <c r="AE51" i="12"/>
  <c r="AD51" i="12"/>
  <c r="BW52" i="12"/>
  <c r="BM52" i="12"/>
  <c r="AF50" i="12"/>
  <c r="AD50" i="12"/>
  <c r="N50" i="12"/>
  <c r="P50" i="12" s="1"/>
  <c r="BW51" i="12"/>
  <c r="BM51" i="12"/>
  <c r="AF49" i="12"/>
  <c r="AE49" i="12"/>
  <c r="AD49" i="12"/>
  <c r="BW50" i="12"/>
  <c r="BM50" i="12"/>
  <c r="AF48" i="12"/>
  <c r="AE48" i="12"/>
  <c r="AD48" i="12"/>
  <c r="BW49" i="12"/>
  <c r="BM49" i="12"/>
  <c r="BW48" i="12"/>
  <c r="BM48" i="12"/>
  <c r="AF46" i="12"/>
  <c r="AE46" i="12"/>
  <c r="AD46" i="12"/>
  <c r="BW47" i="12"/>
  <c r="BM47" i="12"/>
  <c r="AF45" i="12"/>
  <c r="AE45" i="12"/>
  <c r="AD45" i="12"/>
  <c r="BW46" i="12"/>
  <c r="BM46" i="12"/>
  <c r="AF44" i="12"/>
  <c r="AE44" i="12"/>
  <c r="AD44" i="12"/>
  <c r="BW45" i="12"/>
  <c r="BM45" i="12"/>
  <c r="BW44" i="12"/>
  <c r="BM44" i="12"/>
  <c r="O42" i="12"/>
  <c r="N42" i="12"/>
  <c r="M42" i="12"/>
  <c r="E42" i="12"/>
  <c r="D42" i="12"/>
  <c r="C42" i="12"/>
  <c r="BW43" i="12"/>
  <c r="BM43" i="12"/>
  <c r="AF41" i="12"/>
  <c r="AE41" i="12"/>
  <c r="AD41" i="12"/>
  <c r="BW42" i="12"/>
  <c r="BM42" i="12"/>
  <c r="AF40" i="12"/>
  <c r="AE40" i="12"/>
  <c r="AD40" i="12"/>
  <c r="BW41" i="12"/>
  <c r="BM41" i="12"/>
  <c r="O39" i="12"/>
  <c r="N39" i="12"/>
  <c r="M39" i="12"/>
  <c r="E39" i="12"/>
  <c r="D39" i="12"/>
  <c r="C39" i="12"/>
  <c r="BW40" i="12"/>
  <c r="BM40" i="12"/>
  <c r="AF38" i="12"/>
  <c r="AE38" i="12"/>
  <c r="AD38" i="12"/>
  <c r="BW39" i="12"/>
  <c r="BM39" i="12"/>
  <c r="AF37" i="12"/>
  <c r="AE37" i="12"/>
  <c r="AD37" i="12"/>
  <c r="BW38" i="12"/>
  <c r="BM38" i="12"/>
  <c r="AF36" i="12"/>
  <c r="AE36" i="12"/>
  <c r="AD36" i="12"/>
  <c r="BW37" i="12"/>
  <c r="BM37" i="12"/>
  <c r="AF35" i="12"/>
  <c r="AE35" i="12"/>
  <c r="AD35" i="12"/>
  <c r="BW36" i="12"/>
  <c r="BM36" i="12"/>
  <c r="BW35" i="12"/>
  <c r="BM35" i="12"/>
  <c r="AD33" i="12"/>
  <c r="O33" i="12"/>
  <c r="N33" i="12"/>
  <c r="E33" i="12"/>
  <c r="D33" i="12"/>
  <c r="BW34" i="12"/>
  <c r="BM34" i="12"/>
  <c r="AD32" i="12"/>
  <c r="O32" i="12"/>
  <c r="N32" i="12"/>
  <c r="BW33" i="12"/>
  <c r="BM33" i="12"/>
  <c r="AD31" i="12"/>
  <c r="O31" i="12"/>
  <c r="N31" i="12"/>
  <c r="E31" i="12"/>
  <c r="D31" i="12"/>
  <c r="BW32" i="12"/>
  <c r="BM32" i="12"/>
  <c r="BW31" i="12"/>
  <c r="BM31" i="12"/>
  <c r="M29" i="12"/>
  <c r="E29" i="12"/>
  <c r="D29" i="12"/>
  <c r="C29" i="12"/>
  <c r="BW30" i="12"/>
  <c r="BM30" i="12"/>
  <c r="AD28" i="12"/>
  <c r="O28" i="12"/>
  <c r="N28" i="12"/>
  <c r="BW29" i="12"/>
  <c r="BM29" i="12"/>
  <c r="AD27" i="12"/>
  <c r="O27" i="12"/>
  <c r="N27" i="12"/>
  <c r="BW28" i="12"/>
  <c r="BM28" i="12"/>
  <c r="M26" i="12"/>
  <c r="C26" i="12"/>
  <c r="BW27" i="12"/>
  <c r="BM27" i="12"/>
  <c r="AD25" i="12"/>
  <c r="O25" i="12"/>
  <c r="N25" i="12"/>
  <c r="E25" i="12"/>
  <c r="D25" i="12"/>
  <c r="BW26" i="12"/>
  <c r="BM26" i="12"/>
  <c r="AD24" i="12"/>
  <c r="O24" i="12"/>
  <c r="N24" i="12"/>
  <c r="E24" i="12"/>
  <c r="D24" i="12"/>
  <c r="BW25" i="12"/>
  <c r="BM25" i="12"/>
  <c r="AD23" i="12"/>
  <c r="O23" i="12"/>
  <c r="N23" i="12"/>
  <c r="E23" i="12"/>
  <c r="D23" i="12"/>
  <c r="BW24" i="12"/>
  <c r="BM24" i="12"/>
  <c r="AD22" i="12"/>
  <c r="O22" i="12"/>
  <c r="N22" i="12"/>
  <c r="E22" i="12"/>
  <c r="D22" i="12"/>
  <c r="BW23" i="12"/>
  <c r="BM23" i="12"/>
  <c r="BW22" i="12"/>
  <c r="BM22" i="12"/>
  <c r="AD20" i="12"/>
  <c r="O20" i="12"/>
  <c r="N20" i="12"/>
  <c r="E20" i="12"/>
  <c r="D20" i="12"/>
  <c r="BW21" i="12"/>
  <c r="BM21" i="12"/>
  <c r="AD19" i="12"/>
  <c r="O19" i="12"/>
  <c r="AF19" i="12" s="1"/>
  <c r="N19" i="12"/>
  <c r="BW20" i="12"/>
  <c r="BM20" i="12"/>
  <c r="AD18" i="12"/>
  <c r="O18" i="12"/>
  <c r="N18" i="12"/>
  <c r="E18" i="12"/>
  <c r="D18" i="12"/>
  <c r="BW19" i="12"/>
  <c r="BM19" i="12"/>
  <c r="BW18" i="12"/>
  <c r="BM18" i="12"/>
  <c r="M16" i="12"/>
  <c r="E16" i="12"/>
  <c r="D16" i="12"/>
  <c r="C16" i="12"/>
  <c r="BW17" i="12"/>
  <c r="BM17" i="12"/>
  <c r="AD15" i="12"/>
  <c r="O15" i="12"/>
  <c r="AF15" i="12" s="1"/>
  <c r="N15" i="12"/>
  <c r="AE15" i="12" s="1"/>
  <c r="BW16" i="12"/>
  <c r="BM16" i="12"/>
  <c r="AD14" i="12"/>
  <c r="O14" i="12"/>
  <c r="N14" i="12"/>
  <c r="AE14" i="12" s="1"/>
  <c r="BW15" i="12"/>
  <c r="BM15" i="12"/>
  <c r="M13" i="12"/>
  <c r="C13" i="12"/>
  <c r="AD12" i="12"/>
  <c r="O12" i="12"/>
  <c r="N12" i="12"/>
  <c r="E12" i="12"/>
  <c r="D12" i="12"/>
  <c r="AD11" i="12"/>
  <c r="O11" i="12"/>
  <c r="N11" i="12"/>
  <c r="E11" i="12"/>
  <c r="D11" i="12"/>
  <c r="AD10" i="12"/>
  <c r="O10" i="12"/>
  <c r="N10" i="12"/>
  <c r="D10" i="12"/>
  <c r="F10" i="12" s="1"/>
  <c r="AD9" i="12"/>
  <c r="E9" i="12"/>
  <c r="D9" i="12"/>
  <c r="AE9" i="12" s="1"/>
  <c r="BJ2" i="12"/>
  <c r="BJ3" i="12" s="1"/>
  <c r="BJ4" i="12" s="1"/>
  <c r="BJ5" i="12" s="1"/>
  <c r="BJ6" i="12" s="1"/>
  <c r="BJ7" i="12" s="1"/>
  <c r="BJ8" i="12" s="1"/>
  <c r="BJ9" i="12" s="1"/>
  <c r="BJ10" i="12" s="1"/>
  <c r="BJ11" i="12" s="1"/>
  <c r="BJ12" i="12" s="1"/>
  <c r="BJ13" i="12" s="1"/>
  <c r="BJ14" i="12" s="1"/>
  <c r="BJ15" i="12" s="1"/>
  <c r="BJ16" i="12" s="1"/>
  <c r="BJ17" i="12" s="1"/>
  <c r="BJ18" i="12" s="1"/>
  <c r="BJ19" i="12" s="1"/>
  <c r="BJ20" i="12" s="1"/>
  <c r="BJ21" i="12" s="1"/>
  <c r="BJ22" i="12" s="1"/>
  <c r="BJ23" i="12" s="1"/>
  <c r="BJ24" i="12" s="1"/>
  <c r="BJ25" i="12" s="1"/>
  <c r="BJ26" i="12" s="1"/>
  <c r="BJ27" i="12" s="1"/>
  <c r="BJ28" i="12" s="1"/>
  <c r="BJ29" i="12" s="1"/>
  <c r="BJ30" i="12" s="1"/>
  <c r="BJ31" i="12" s="1"/>
  <c r="BJ32" i="12" s="1"/>
  <c r="BJ33" i="12" s="1"/>
  <c r="BJ34" i="12" s="1"/>
  <c r="BJ35" i="12" s="1"/>
  <c r="BJ36" i="12" s="1"/>
  <c r="BJ37" i="12" s="1"/>
  <c r="BJ38" i="12" s="1"/>
  <c r="BJ39" i="12" s="1"/>
  <c r="BJ40" i="12" s="1"/>
  <c r="BJ41" i="12" s="1"/>
  <c r="BJ42" i="12" s="1"/>
  <c r="BJ43" i="12" s="1"/>
  <c r="BJ44" i="12" s="1"/>
  <c r="BJ45" i="12" s="1"/>
  <c r="BJ46" i="12" s="1"/>
  <c r="BJ47" i="12" s="1"/>
  <c r="BJ48" i="12" s="1"/>
  <c r="BJ49" i="12" s="1"/>
  <c r="BJ50" i="12" s="1"/>
  <c r="BJ51" i="12" s="1"/>
  <c r="BJ52" i="12" s="1"/>
  <c r="BJ53" i="12" s="1"/>
  <c r="BJ54" i="12" s="1"/>
  <c r="BJ55" i="12" s="1"/>
  <c r="BJ56" i="12" s="1"/>
  <c r="BJ57" i="12" s="1"/>
  <c r="BJ58" i="12" s="1"/>
  <c r="BJ59" i="12" s="1"/>
  <c r="BJ60" i="12" s="1"/>
  <c r="BJ61" i="12" s="1"/>
  <c r="BJ62" i="12" s="1"/>
  <c r="BJ63" i="12" s="1"/>
  <c r="BJ64" i="12" s="1"/>
  <c r="F165" i="3" l="1"/>
  <c r="F106" i="3"/>
  <c r="E165" i="3"/>
  <c r="E106" i="3"/>
  <c r="P68" i="12"/>
  <c r="AD65" i="12"/>
  <c r="AK63" i="12"/>
  <c r="K27" i="12"/>
  <c r="AG67" i="12"/>
  <c r="AG71" i="12"/>
  <c r="J65" i="12"/>
  <c r="K71" i="12"/>
  <c r="F34" i="13"/>
  <c r="AA54" i="13"/>
  <c r="AF65" i="12"/>
  <c r="AF68" i="12"/>
  <c r="AG61" i="12"/>
  <c r="F38" i="13"/>
  <c r="G38" i="13" s="1"/>
  <c r="E61" i="3" s="1"/>
  <c r="K61" i="12"/>
  <c r="DC26" i="15"/>
  <c r="H107" i="3"/>
  <c r="H106" i="3" s="1"/>
  <c r="B16" i="2"/>
  <c r="U66" i="12"/>
  <c r="U70" i="12"/>
  <c r="U72" i="12"/>
  <c r="AK66" i="12"/>
  <c r="AK70" i="12"/>
  <c r="BM26" i="15"/>
  <c r="K67" i="12"/>
  <c r="K62" i="12"/>
  <c r="AK38" i="12"/>
  <c r="H30" i="12"/>
  <c r="H34" i="12" s="1"/>
  <c r="AI34" i="12" s="1"/>
  <c r="E34" i="3" s="1"/>
  <c r="R17" i="12"/>
  <c r="R21" i="12" s="1"/>
  <c r="AE68" i="12"/>
  <c r="AK62" i="12"/>
  <c r="L28" i="13"/>
  <c r="U62" i="12"/>
  <c r="AK67" i="12"/>
  <c r="AK71" i="12"/>
  <c r="FC24" i="15"/>
  <c r="EX26" i="15" s="1"/>
  <c r="D31" i="3"/>
  <c r="AG63" i="12"/>
  <c r="G107" i="3"/>
  <c r="G106" i="3" s="1"/>
  <c r="G30" i="3"/>
  <c r="L90" i="13"/>
  <c r="H62" i="3"/>
  <c r="G43" i="13"/>
  <c r="L43" i="13" s="1"/>
  <c r="F47" i="13"/>
  <c r="F21" i="13"/>
  <c r="G21" i="13" s="1"/>
  <c r="G19" i="13"/>
  <c r="G65" i="13"/>
  <c r="H66" i="13" s="1"/>
  <c r="F68" i="13"/>
  <c r="F63" i="3"/>
  <c r="G62" i="3"/>
  <c r="L73" i="13"/>
  <c r="L66" i="13"/>
  <c r="F64" i="13"/>
  <c r="G64" i="13" s="1"/>
  <c r="G60" i="13"/>
  <c r="H62" i="13" s="1"/>
  <c r="H64" i="3"/>
  <c r="L92" i="13"/>
  <c r="F55" i="13"/>
  <c r="G55" i="13" s="1"/>
  <c r="G53" i="13"/>
  <c r="F17" i="13"/>
  <c r="G14" i="13"/>
  <c r="L31" i="13" s="1"/>
  <c r="L44" i="13"/>
  <c r="L83" i="13"/>
  <c r="H54" i="13"/>
  <c r="L27" i="13"/>
  <c r="H63" i="3"/>
  <c r="L91" i="13"/>
  <c r="H79" i="13"/>
  <c r="L79" i="13"/>
  <c r="L77" i="13"/>
  <c r="H77" i="13"/>
  <c r="L71" i="13"/>
  <c r="H71" i="13"/>
  <c r="G64" i="3"/>
  <c r="L75" i="13"/>
  <c r="G87" i="13"/>
  <c r="F89" i="13"/>
  <c r="F51" i="13"/>
  <c r="G48" i="13"/>
  <c r="L63" i="13"/>
  <c r="H78" i="13"/>
  <c r="L78" i="13"/>
  <c r="L41" i="13"/>
  <c r="E64" i="3"/>
  <c r="L58" i="13"/>
  <c r="F64" i="3"/>
  <c r="F30" i="13"/>
  <c r="G30" i="13" s="1"/>
  <c r="L45" i="13"/>
  <c r="L74" i="13"/>
  <c r="G63" i="3"/>
  <c r="F62" i="3"/>
  <c r="L49" i="13"/>
  <c r="L32" i="13"/>
  <c r="L62" i="13"/>
  <c r="F13" i="13"/>
  <c r="G13" i="13" s="1"/>
  <c r="G9" i="13"/>
  <c r="H11" i="13" s="1"/>
  <c r="L88" i="13"/>
  <c r="H88" i="13"/>
  <c r="G70" i="13"/>
  <c r="F72" i="13"/>
  <c r="G72" i="13" s="1"/>
  <c r="G82" i="13"/>
  <c r="F85" i="13"/>
  <c r="F81" i="13"/>
  <c r="G81" i="13" s="1"/>
  <c r="G80" i="13"/>
  <c r="H80" i="13" s="1"/>
  <c r="L61" i="13"/>
  <c r="L38" i="13"/>
  <c r="G40" i="13"/>
  <c r="ES26" i="15"/>
  <c r="EY23" i="15"/>
  <c r="EY24" i="15" s="1"/>
  <c r="EY19" i="15"/>
  <c r="AA36" i="13"/>
  <c r="I42" i="13"/>
  <c r="AH61" i="12"/>
  <c r="AG65" i="12"/>
  <c r="U67" i="12"/>
  <c r="U71" i="12"/>
  <c r="AG64" i="12"/>
  <c r="AD68" i="12"/>
  <c r="AG72" i="12"/>
  <c r="AP23" i="12"/>
  <c r="AQ23" i="12" s="1"/>
  <c r="H17" i="12"/>
  <c r="AI17" i="12" s="1"/>
  <c r="AI52" i="12"/>
  <c r="AK52" i="12" s="1"/>
  <c r="AO43" i="12" s="1"/>
  <c r="AI26" i="12"/>
  <c r="G62" i="12"/>
  <c r="U63" i="12"/>
  <c r="U64" i="12"/>
  <c r="T65" i="12"/>
  <c r="J68" i="12"/>
  <c r="T68" i="12"/>
  <c r="AG62" i="12"/>
  <c r="AK64" i="12"/>
  <c r="AG70" i="12"/>
  <c r="AK72" i="12"/>
  <c r="K72" i="12"/>
  <c r="AI65" i="12"/>
  <c r="AK65" i="12" s="1"/>
  <c r="AO44" i="12" s="1"/>
  <c r="K63" i="12"/>
  <c r="K66" i="12"/>
  <c r="K70" i="12"/>
  <c r="K64" i="12"/>
  <c r="AG66" i="12"/>
  <c r="AH67" i="12" s="1"/>
  <c r="AI68" i="12"/>
  <c r="F68" i="12"/>
  <c r="G63" i="12"/>
  <c r="G64" i="12"/>
  <c r="N69" i="12"/>
  <c r="Q64" i="12"/>
  <c r="R69" i="12"/>
  <c r="Q61" i="12"/>
  <c r="O69" i="12"/>
  <c r="Q62" i="12"/>
  <c r="U61" i="12"/>
  <c r="F65" i="12"/>
  <c r="G66" i="12" s="1"/>
  <c r="E69" i="12"/>
  <c r="E73" i="12" s="1"/>
  <c r="D69" i="12"/>
  <c r="D73" i="12" s="1"/>
  <c r="H69" i="12"/>
  <c r="J69" i="12" s="1"/>
  <c r="P65" i="12"/>
  <c r="Q68" i="12" s="1"/>
  <c r="C69" i="12"/>
  <c r="Q63" i="12"/>
  <c r="M69" i="12"/>
  <c r="H43" i="12"/>
  <c r="H47" i="12" s="1"/>
  <c r="AI47" i="12" s="1"/>
  <c r="F34" i="3" s="1"/>
  <c r="AF39" i="12"/>
  <c r="AK50" i="12"/>
  <c r="R56" i="12"/>
  <c r="R60" i="12" s="1"/>
  <c r="R30" i="12"/>
  <c r="R34" i="12" s="1"/>
  <c r="AK26" i="12"/>
  <c r="AO41" i="12" s="1"/>
  <c r="T29" i="12"/>
  <c r="T49" i="12"/>
  <c r="T44" i="12"/>
  <c r="T37" i="12"/>
  <c r="T32" i="12"/>
  <c r="T25" i="12"/>
  <c r="AI31" i="12"/>
  <c r="AK31" i="12" s="1"/>
  <c r="AI16" i="12"/>
  <c r="T33" i="12"/>
  <c r="AK27" i="12"/>
  <c r="H60" i="12"/>
  <c r="AI55" i="12"/>
  <c r="AK51" i="12"/>
  <c r="AI42" i="12"/>
  <c r="AK58" i="12"/>
  <c r="AK46" i="12"/>
  <c r="AK54" i="12"/>
  <c r="AI29" i="12"/>
  <c r="AK22" i="12"/>
  <c r="AK23" i="12"/>
  <c r="AK59" i="12"/>
  <c r="AK25" i="12"/>
  <c r="AK57" i="12"/>
  <c r="J57" i="12"/>
  <c r="J49" i="12"/>
  <c r="J44" i="12"/>
  <c r="J37" i="12"/>
  <c r="J32" i="12"/>
  <c r="J25" i="12"/>
  <c r="AK39" i="12"/>
  <c r="AO42" i="12" s="1"/>
  <c r="AI48" i="12"/>
  <c r="AK48" i="12" s="1"/>
  <c r="AI40" i="12"/>
  <c r="AI36" i="12"/>
  <c r="AI32" i="12"/>
  <c r="AI28" i="12"/>
  <c r="AP20" i="12" s="1"/>
  <c r="AQ20" i="12" s="1"/>
  <c r="AI24" i="12"/>
  <c r="AI20" i="12"/>
  <c r="AK33" i="12" s="1"/>
  <c r="J33" i="12"/>
  <c r="AK35" i="12"/>
  <c r="T52" i="12"/>
  <c r="T26" i="12"/>
  <c r="T39" i="12"/>
  <c r="J26" i="12"/>
  <c r="J29" i="12"/>
  <c r="J42" i="12"/>
  <c r="T42" i="12"/>
  <c r="J52" i="12"/>
  <c r="J55" i="12"/>
  <c r="T55" i="12"/>
  <c r="F18" i="12"/>
  <c r="P19" i="12"/>
  <c r="F22" i="12"/>
  <c r="F39" i="12"/>
  <c r="P39" i="12"/>
  <c r="Q39" i="12" s="1"/>
  <c r="J39" i="12"/>
  <c r="AG36" i="12"/>
  <c r="AG40" i="12"/>
  <c r="AG49" i="12"/>
  <c r="F31" i="12"/>
  <c r="F12" i="12"/>
  <c r="AG41" i="12"/>
  <c r="AG35" i="12"/>
  <c r="F55" i="12"/>
  <c r="P55" i="12"/>
  <c r="U68" i="12" s="1"/>
  <c r="AG57" i="12"/>
  <c r="AG58" i="12"/>
  <c r="AL58" i="12" s="1"/>
  <c r="AG38" i="12"/>
  <c r="AG46" i="12"/>
  <c r="AG48" i="12"/>
  <c r="AG53" i="12"/>
  <c r="AG54" i="12"/>
  <c r="AL67" i="12" s="1"/>
  <c r="AG15" i="12"/>
  <c r="P10" i="12"/>
  <c r="Q10" i="12" s="1"/>
  <c r="F11" i="12"/>
  <c r="P12" i="12"/>
  <c r="P23" i="12"/>
  <c r="U36" i="12" s="1"/>
  <c r="P28" i="12"/>
  <c r="AG37" i="12"/>
  <c r="AH37" i="12" s="1"/>
  <c r="AG44" i="12"/>
  <c r="AG45" i="12"/>
  <c r="AG51" i="12"/>
  <c r="AG59" i="12"/>
  <c r="F20" i="12"/>
  <c r="P24" i="12"/>
  <c r="U37" i="12" s="1"/>
  <c r="F52" i="12"/>
  <c r="F9" i="12"/>
  <c r="P11" i="12"/>
  <c r="P20" i="12"/>
  <c r="F23" i="12"/>
  <c r="F29" i="12"/>
  <c r="F42" i="12"/>
  <c r="P42" i="12"/>
  <c r="F24" i="12"/>
  <c r="K37" i="12" s="1"/>
  <c r="F16" i="12"/>
  <c r="P18" i="12"/>
  <c r="P31" i="12"/>
  <c r="K32" i="12"/>
  <c r="AE19" i="12"/>
  <c r="AG19" i="12" s="1"/>
  <c r="CC60" i="12"/>
  <c r="P27" i="12"/>
  <c r="U40" i="12" s="1"/>
  <c r="P15" i="12"/>
  <c r="P22" i="12"/>
  <c r="Q22" i="12" s="1"/>
  <c r="P14" i="12"/>
  <c r="P32" i="12"/>
  <c r="U45" i="12" s="1"/>
  <c r="O13" i="12"/>
  <c r="BP61" i="12"/>
  <c r="G38" i="12"/>
  <c r="F33" i="12"/>
  <c r="K46" i="12" s="1"/>
  <c r="F25" i="12"/>
  <c r="P33" i="12"/>
  <c r="U46" i="12" s="1"/>
  <c r="P25" i="12"/>
  <c r="U38" i="12" s="1"/>
  <c r="AF18" i="12"/>
  <c r="AE27" i="12"/>
  <c r="K53" i="12"/>
  <c r="U54" i="12"/>
  <c r="BZ61" i="12"/>
  <c r="AF12" i="12"/>
  <c r="AE20" i="12"/>
  <c r="O29" i="12"/>
  <c r="AE25" i="12"/>
  <c r="AF27" i="12"/>
  <c r="C43" i="12"/>
  <c r="K28" i="12"/>
  <c r="AD13" i="12"/>
  <c r="M17" i="12"/>
  <c r="AF24" i="12"/>
  <c r="AE33" i="12"/>
  <c r="G36" i="12"/>
  <c r="K51" i="12"/>
  <c r="Q49" i="12"/>
  <c r="K54" i="12"/>
  <c r="BC20" i="12"/>
  <c r="K59" i="12"/>
  <c r="CC64" i="12"/>
  <c r="AE50" i="12"/>
  <c r="AG50" i="12" s="1"/>
  <c r="AL63" i="12" s="1"/>
  <c r="CC61" i="12"/>
  <c r="AF11" i="12"/>
  <c r="AE12" i="12"/>
  <c r="AF25" i="12"/>
  <c r="AF32" i="12"/>
  <c r="AF33" i="12"/>
  <c r="G35" i="12"/>
  <c r="U51" i="12"/>
  <c r="C56" i="12"/>
  <c r="O56" i="12"/>
  <c r="BC19" i="12"/>
  <c r="D56" i="12"/>
  <c r="D60" i="12" s="1"/>
  <c r="BC22" i="12"/>
  <c r="BC23" i="12"/>
  <c r="G37" i="12"/>
  <c r="E13" i="12"/>
  <c r="E17" i="12" s="1"/>
  <c r="E21" i="12" s="1"/>
  <c r="C17" i="12"/>
  <c r="AE18" i="12"/>
  <c r="AE24" i="12"/>
  <c r="N26" i="12"/>
  <c r="K41" i="12"/>
  <c r="M30" i="12"/>
  <c r="AE32" i="12"/>
  <c r="K40" i="12"/>
  <c r="AE31" i="12"/>
  <c r="K45" i="12"/>
  <c r="U58" i="12"/>
  <c r="AD42" i="12"/>
  <c r="Q51" i="12"/>
  <c r="K57" i="12"/>
  <c r="U57" i="12"/>
  <c r="D13" i="12"/>
  <c r="D17" i="12" s="1"/>
  <c r="D21" i="12" s="1"/>
  <c r="N29" i="12"/>
  <c r="AF31" i="12"/>
  <c r="U49" i="12"/>
  <c r="Q36" i="12"/>
  <c r="E56" i="12"/>
  <c r="AE10" i="12"/>
  <c r="AE11" i="12"/>
  <c r="N13" i="12"/>
  <c r="D26" i="12"/>
  <c r="O26" i="12"/>
  <c r="AD26" i="12"/>
  <c r="AF28" i="12"/>
  <c r="AE28" i="12"/>
  <c r="AD29" i="12"/>
  <c r="C30" i="12"/>
  <c r="Q37" i="12"/>
  <c r="AD39" i="12"/>
  <c r="AE39" i="12"/>
  <c r="M43" i="12"/>
  <c r="U53" i="12"/>
  <c r="BZ63" i="12"/>
  <c r="BZ62" i="12"/>
  <c r="AF9" i="12"/>
  <c r="AG9" i="12" s="1"/>
  <c r="AF10" i="12"/>
  <c r="O16" i="12"/>
  <c r="AF14" i="12"/>
  <c r="AG14" i="12" s="1"/>
  <c r="AD16" i="12"/>
  <c r="AF20" i="12"/>
  <c r="E26" i="12"/>
  <c r="AF22" i="12"/>
  <c r="AE22" i="12"/>
  <c r="AF23" i="12"/>
  <c r="AE23" i="12"/>
  <c r="N16" i="12"/>
  <c r="U48" i="12"/>
  <c r="Q38" i="12"/>
  <c r="Q35" i="12"/>
  <c r="G42" i="12"/>
  <c r="AE42" i="12"/>
  <c r="N43" i="12"/>
  <c r="E43" i="12"/>
  <c r="CC63" i="12"/>
  <c r="BP63" i="12"/>
  <c r="BP64" i="12"/>
  <c r="D43" i="12"/>
  <c r="O43" i="12"/>
  <c r="AD52" i="12"/>
  <c r="AE55" i="12"/>
  <c r="AF42" i="12"/>
  <c r="K50" i="12"/>
  <c r="G50" i="12"/>
  <c r="U50" i="12"/>
  <c r="Q50" i="12"/>
  <c r="N52" i="12"/>
  <c r="P52" i="12" s="1"/>
  <c r="O60" i="12"/>
  <c r="AF55" i="12"/>
  <c r="M56" i="12"/>
  <c r="BC21" i="12"/>
  <c r="K58" i="12"/>
  <c r="CC62" i="12"/>
  <c r="BP62" i="12"/>
  <c r="K48" i="12"/>
  <c r="G48" i="12"/>
  <c r="K49" i="12"/>
  <c r="G49" i="12"/>
  <c r="AF52" i="12"/>
  <c r="U59" i="12"/>
  <c r="G51" i="12"/>
  <c r="AD55" i="12"/>
  <c r="BZ64" i="12"/>
  <c r="H165" i="3" l="1"/>
  <c r="I108" i="3"/>
  <c r="G165" i="3"/>
  <c r="AH63" i="12"/>
  <c r="H38" i="13"/>
  <c r="H84" i="13"/>
  <c r="H67" i="13"/>
  <c r="AL51" i="12"/>
  <c r="H61" i="13"/>
  <c r="J107" i="3"/>
  <c r="J165" i="3" s="1"/>
  <c r="AI60" i="12"/>
  <c r="G34" i="3" s="1"/>
  <c r="K68" i="12"/>
  <c r="AG68" i="12"/>
  <c r="H45" i="13"/>
  <c r="G51" i="13"/>
  <c r="H51" i="13" s="1"/>
  <c r="H52" i="13" s="1"/>
  <c r="F59" i="13"/>
  <c r="G59" i="13" s="1"/>
  <c r="F58" i="3" s="1"/>
  <c r="F118" i="3" s="1"/>
  <c r="F171" i="3" s="1"/>
  <c r="AL59" i="12"/>
  <c r="AI43" i="12"/>
  <c r="H44" i="13"/>
  <c r="AK29" i="12"/>
  <c r="AP41" i="12" s="1"/>
  <c r="G68" i="13"/>
  <c r="H75" i="13" s="1"/>
  <c r="H76" i="13" s="1"/>
  <c r="F76" i="13"/>
  <c r="G76" i="13" s="1"/>
  <c r="D107" i="3"/>
  <c r="D30" i="3"/>
  <c r="AI30" i="12"/>
  <c r="AK30" i="12" s="1"/>
  <c r="AQ41" i="12" s="1"/>
  <c r="G17" i="13"/>
  <c r="H24" i="13" s="1"/>
  <c r="H25" i="13" s="1"/>
  <c r="F25" i="13"/>
  <c r="G25" i="13" s="1"/>
  <c r="D58" i="3" s="1"/>
  <c r="D118" i="3" s="1"/>
  <c r="D171" i="3" s="1"/>
  <c r="AL53" i="12"/>
  <c r="G85" i="13"/>
  <c r="H87" i="13" s="1"/>
  <c r="F93" i="13"/>
  <c r="F42" i="13"/>
  <c r="K65" i="12"/>
  <c r="G93" i="13"/>
  <c r="G89" i="13"/>
  <c r="H56" i="13"/>
  <c r="H57" i="13"/>
  <c r="F61" i="3"/>
  <c r="H55" i="13"/>
  <c r="G60" i="3"/>
  <c r="L68" i="13"/>
  <c r="H68" i="13"/>
  <c r="H69" i="13" s="1"/>
  <c r="G47" i="13"/>
  <c r="L55" i="13"/>
  <c r="L82" i="13"/>
  <c r="H82" i="13"/>
  <c r="L80" i="13"/>
  <c r="L87" i="13"/>
  <c r="H14" i="13"/>
  <c r="L65" i="13"/>
  <c r="H65" i="13"/>
  <c r="H43" i="13"/>
  <c r="H46" i="13"/>
  <c r="D59" i="3"/>
  <c r="H13" i="13"/>
  <c r="E63" i="3"/>
  <c r="L40" i="13"/>
  <c r="L72" i="13"/>
  <c r="H73" i="13"/>
  <c r="G61" i="3"/>
  <c r="H72" i="13"/>
  <c r="H74" i="13"/>
  <c r="L48" i="13"/>
  <c r="H48" i="13"/>
  <c r="D60" i="3"/>
  <c r="H17" i="13"/>
  <c r="H18" i="13" s="1"/>
  <c r="L60" i="13"/>
  <c r="H60" i="13"/>
  <c r="H63" i="13"/>
  <c r="L57" i="13"/>
  <c r="H19" i="13"/>
  <c r="H16" i="13"/>
  <c r="H81" i="13"/>
  <c r="H59" i="3"/>
  <c r="L81" i="13"/>
  <c r="L70" i="13"/>
  <c r="H9" i="13"/>
  <c r="H12" i="13"/>
  <c r="F60" i="3"/>
  <c r="H15" i="13"/>
  <c r="H10" i="13"/>
  <c r="H83" i="13"/>
  <c r="L26" i="13"/>
  <c r="G59" i="3"/>
  <c r="L64" i="13"/>
  <c r="H64" i="13"/>
  <c r="D61" i="3"/>
  <c r="H23" i="13"/>
  <c r="H21" i="13"/>
  <c r="H22" i="13"/>
  <c r="L47" i="13"/>
  <c r="E59" i="3"/>
  <c r="L30" i="13"/>
  <c r="H30" i="13"/>
  <c r="K59" i="13"/>
  <c r="K42" i="13"/>
  <c r="H32" i="13"/>
  <c r="H31" i="13"/>
  <c r="G39" i="13"/>
  <c r="G34" i="13"/>
  <c r="G36" i="13"/>
  <c r="L36" i="13" s="1"/>
  <c r="G37" i="13"/>
  <c r="ET26" i="15"/>
  <c r="EY26" i="15"/>
  <c r="AH68" i="12"/>
  <c r="AH9" i="12"/>
  <c r="AH35" i="12"/>
  <c r="AH38" i="12"/>
  <c r="AH48" i="12"/>
  <c r="AH51" i="12"/>
  <c r="H21" i="12"/>
  <c r="AI21" i="12" s="1"/>
  <c r="D34" i="3" s="1"/>
  <c r="O73" i="12"/>
  <c r="AF73" i="12" s="1"/>
  <c r="AF69" i="12"/>
  <c r="N73" i="12"/>
  <c r="AE73" i="12" s="1"/>
  <c r="AE69" i="12"/>
  <c r="AL71" i="12"/>
  <c r="AL70" i="12"/>
  <c r="AH64" i="12"/>
  <c r="AH36" i="12"/>
  <c r="AK68" i="12"/>
  <c r="AP44" i="12" s="1"/>
  <c r="AL64" i="12"/>
  <c r="AL61" i="12"/>
  <c r="AL49" i="12"/>
  <c r="AH49" i="12"/>
  <c r="AH50" i="12"/>
  <c r="AL54" i="12"/>
  <c r="AD69" i="12"/>
  <c r="T69" i="12"/>
  <c r="R73" i="12"/>
  <c r="AI69" i="12"/>
  <c r="AL66" i="12"/>
  <c r="AL62" i="12"/>
  <c r="AH62" i="12"/>
  <c r="AL72" i="12"/>
  <c r="AK61" i="12"/>
  <c r="AH65" i="12"/>
  <c r="AH66" i="12"/>
  <c r="G67" i="12"/>
  <c r="H73" i="12"/>
  <c r="J73" i="12" s="1"/>
  <c r="G68" i="12"/>
  <c r="G65" i="12"/>
  <c r="Q67" i="12"/>
  <c r="U65" i="12"/>
  <c r="Q65" i="12"/>
  <c r="Q66" i="12"/>
  <c r="P69" i="12"/>
  <c r="M73" i="12"/>
  <c r="F69" i="12"/>
  <c r="C73" i="12"/>
  <c r="F73" i="12" s="1"/>
  <c r="AG18" i="12"/>
  <c r="AL48" i="12"/>
  <c r="AL57" i="12"/>
  <c r="AI56" i="12"/>
  <c r="AG25" i="12"/>
  <c r="AL50" i="12"/>
  <c r="AL38" i="12"/>
  <c r="K31" i="12"/>
  <c r="AK42" i="12"/>
  <c r="AP42" i="12" s="1"/>
  <c r="AK47" i="12"/>
  <c r="AR42" i="12" s="1"/>
  <c r="AK55" i="12"/>
  <c r="AP43" i="12" s="1"/>
  <c r="AK44" i="12"/>
  <c r="AK56" i="12"/>
  <c r="AQ43" i="12" s="1"/>
  <c r="AK60" i="12"/>
  <c r="AR43" i="12" s="1"/>
  <c r="AK45" i="12"/>
  <c r="AK32" i="12"/>
  <c r="AK49" i="12"/>
  <c r="AK36" i="12"/>
  <c r="AK37" i="12"/>
  <c r="AK24" i="12"/>
  <c r="AK53" i="12"/>
  <c r="AK40" i="12"/>
  <c r="AK41" i="12"/>
  <c r="AK28" i="12"/>
  <c r="T43" i="12"/>
  <c r="CD62" i="12"/>
  <c r="U32" i="12"/>
  <c r="K22" i="12"/>
  <c r="J30" i="12"/>
  <c r="T56" i="12"/>
  <c r="T30" i="12"/>
  <c r="J43" i="12"/>
  <c r="J56" i="12"/>
  <c r="AG10" i="12"/>
  <c r="AH10" i="12" s="1"/>
  <c r="AG23" i="12"/>
  <c r="AG28" i="12"/>
  <c r="AG27" i="12"/>
  <c r="AL27" i="12" s="1"/>
  <c r="F26" i="12"/>
  <c r="K39" i="12" s="1"/>
  <c r="AG20" i="12"/>
  <c r="AG22" i="12"/>
  <c r="AG39" i="12"/>
  <c r="P26" i="12"/>
  <c r="Q27" i="12" s="1"/>
  <c r="AG32" i="12"/>
  <c r="AL32" i="12" s="1"/>
  <c r="AG55" i="12"/>
  <c r="P13" i="12"/>
  <c r="AG42" i="12"/>
  <c r="U24" i="12"/>
  <c r="U31" i="12"/>
  <c r="K42" i="12"/>
  <c r="AG12" i="12"/>
  <c r="AG31" i="12"/>
  <c r="AG11" i="12"/>
  <c r="AH11" i="12" s="1"/>
  <c r="AG33" i="12"/>
  <c r="AG24" i="12"/>
  <c r="CD61" i="12"/>
  <c r="P16" i="12"/>
  <c r="F17" i="12"/>
  <c r="G19" i="12" s="1"/>
  <c r="C21" i="12"/>
  <c r="F21" i="12" s="1"/>
  <c r="C60" i="12"/>
  <c r="F56" i="12"/>
  <c r="C47" i="12"/>
  <c r="F43" i="12"/>
  <c r="M34" i="12"/>
  <c r="U33" i="12"/>
  <c r="P29" i="12"/>
  <c r="U42" i="12" s="1"/>
  <c r="F13" i="12"/>
  <c r="G13" i="12" s="1"/>
  <c r="P43" i="12"/>
  <c r="Q23" i="12"/>
  <c r="AE26" i="12"/>
  <c r="K24" i="12"/>
  <c r="K25" i="12"/>
  <c r="AD17" i="12"/>
  <c r="AD30" i="12"/>
  <c r="C34" i="12"/>
  <c r="K38" i="12"/>
  <c r="O30" i="12"/>
  <c r="Q40" i="12"/>
  <c r="M21" i="12"/>
  <c r="AD21" i="12" s="1"/>
  <c r="G41" i="12"/>
  <c r="K33" i="12"/>
  <c r="U22" i="12"/>
  <c r="AF29" i="12"/>
  <c r="Q24" i="12"/>
  <c r="CD63" i="12"/>
  <c r="Q41" i="12"/>
  <c r="U35" i="12"/>
  <c r="U25" i="12"/>
  <c r="AF13" i="12"/>
  <c r="Q25" i="12"/>
  <c r="G16" i="12"/>
  <c r="O34" i="12"/>
  <c r="Q12" i="12"/>
  <c r="K23" i="12"/>
  <c r="G23" i="12"/>
  <c r="K36" i="12"/>
  <c r="U55" i="12"/>
  <c r="O47" i="12"/>
  <c r="AF43" i="12"/>
  <c r="Q26" i="12"/>
  <c r="O17" i="12"/>
  <c r="AF16" i="12"/>
  <c r="G22" i="12"/>
  <c r="G25" i="12"/>
  <c r="K35" i="12"/>
  <c r="E60" i="12"/>
  <c r="AF60" i="12" s="1"/>
  <c r="AF56" i="12"/>
  <c r="U28" i="12"/>
  <c r="AD56" i="12"/>
  <c r="M60" i="12"/>
  <c r="AE52" i="12"/>
  <c r="N56" i="12"/>
  <c r="P56" i="12" s="1"/>
  <c r="G52" i="12"/>
  <c r="G53" i="12"/>
  <c r="K52" i="12"/>
  <c r="G54" i="12"/>
  <c r="D47" i="12"/>
  <c r="CD64" i="12"/>
  <c r="E47" i="12"/>
  <c r="AE16" i="12"/>
  <c r="N17" i="12"/>
  <c r="G9" i="12"/>
  <c r="G12" i="12"/>
  <c r="K55" i="12"/>
  <c r="G55" i="12"/>
  <c r="AD43" i="12"/>
  <c r="M47" i="12"/>
  <c r="K29" i="12"/>
  <c r="N30" i="12"/>
  <c r="AE29" i="12"/>
  <c r="G14" i="12"/>
  <c r="D30" i="12"/>
  <c r="G11" i="12"/>
  <c r="U41" i="12"/>
  <c r="AE43" i="12"/>
  <c r="N47" i="12"/>
  <c r="G39" i="12"/>
  <c r="G40" i="12"/>
  <c r="AF26" i="12"/>
  <c r="U23" i="12"/>
  <c r="AE13" i="12"/>
  <c r="K44" i="12"/>
  <c r="G24" i="12"/>
  <c r="U44" i="12"/>
  <c r="Q42" i="12"/>
  <c r="E30" i="12"/>
  <c r="U27" i="12"/>
  <c r="Q11" i="12"/>
  <c r="G10" i="12"/>
  <c r="D165" i="3" l="1"/>
  <c r="D106" i="3"/>
  <c r="G18" i="12"/>
  <c r="H53" i="13"/>
  <c r="H70" i="13"/>
  <c r="H58" i="3"/>
  <c r="H58" i="13"/>
  <c r="H59" i="13" s="1"/>
  <c r="F120" i="3"/>
  <c r="D120" i="3"/>
  <c r="AH42" i="12"/>
  <c r="J34" i="12"/>
  <c r="H60" i="3"/>
  <c r="AK43" i="12"/>
  <c r="AQ42" i="12" s="1"/>
  <c r="AK34" i="12"/>
  <c r="AR41" i="12" s="1"/>
  <c r="AL45" i="12"/>
  <c r="H85" i="13"/>
  <c r="H86" i="13" s="1"/>
  <c r="L53" i="13"/>
  <c r="L85" i="13"/>
  <c r="D65" i="3"/>
  <c r="G65" i="3"/>
  <c r="L89" i="13"/>
  <c r="H91" i="13"/>
  <c r="H90" i="13"/>
  <c r="H92" i="13"/>
  <c r="H93" i="13" s="1"/>
  <c r="H89" i="13"/>
  <c r="H61" i="3" s="1"/>
  <c r="H37" i="13"/>
  <c r="L37" i="13"/>
  <c r="L54" i="13"/>
  <c r="L93" i="13"/>
  <c r="E62" i="3"/>
  <c r="L39" i="13"/>
  <c r="L56" i="13"/>
  <c r="G58" i="3"/>
  <c r="G118" i="3" s="1"/>
  <c r="G171" i="3" s="1"/>
  <c r="L76" i="13"/>
  <c r="F59" i="3"/>
  <c r="F65" i="3" s="1"/>
  <c r="H47" i="13"/>
  <c r="H49" i="13"/>
  <c r="H50" i="13"/>
  <c r="E60" i="3"/>
  <c r="L34" i="13"/>
  <c r="L51" i="13"/>
  <c r="H41" i="13"/>
  <c r="H42" i="13" s="1"/>
  <c r="H36" i="13"/>
  <c r="H34" i="13"/>
  <c r="H35" i="13" s="1"/>
  <c r="H39" i="13"/>
  <c r="H40" i="13"/>
  <c r="AL22" i="12"/>
  <c r="AH22" i="12"/>
  <c r="AH25" i="12"/>
  <c r="AL28" i="12"/>
  <c r="T73" i="12"/>
  <c r="AI73" i="12"/>
  <c r="AH12" i="12"/>
  <c r="AL31" i="12"/>
  <c r="AH23" i="12"/>
  <c r="AH24" i="12"/>
  <c r="AG69" i="12"/>
  <c r="AL55" i="12"/>
  <c r="AP33" i="12" s="1"/>
  <c r="AL33" i="12"/>
  <c r="AH39" i="12"/>
  <c r="AH40" i="12"/>
  <c r="AL46" i="12"/>
  <c r="P73" i="12"/>
  <c r="AD73" i="12"/>
  <c r="H35" i="3" s="1"/>
  <c r="B17" i="2" s="1"/>
  <c r="B15" i="2" s="1"/>
  <c r="AK69" i="12"/>
  <c r="AQ44" i="12" s="1"/>
  <c r="AH41" i="12"/>
  <c r="AL68" i="12"/>
  <c r="AP34" i="12" s="1"/>
  <c r="U69" i="12"/>
  <c r="Q69" i="12"/>
  <c r="Q72" i="12"/>
  <c r="Q73" i="12" s="1"/>
  <c r="Q71" i="12"/>
  <c r="Q70" i="12"/>
  <c r="K69" i="12"/>
  <c r="G69" i="12"/>
  <c r="G72" i="12"/>
  <c r="G73" i="12" s="1"/>
  <c r="G71" i="12"/>
  <c r="G70" i="12"/>
  <c r="AL35" i="12"/>
  <c r="AG29" i="12"/>
  <c r="AL42" i="12" s="1"/>
  <c r="AL23" i="12"/>
  <c r="AL44" i="12"/>
  <c r="AL36" i="12"/>
  <c r="AL24" i="12"/>
  <c r="AL40" i="12"/>
  <c r="G15" i="12"/>
  <c r="AG16" i="12"/>
  <c r="AL25" i="12"/>
  <c r="AL41" i="12"/>
  <c r="AL37" i="12"/>
  <c r="J47" i="12"/>
  <c r="U39" i="12"/>
  <c r="P17" i="12"/>
  <c r="Q28" i="12"/>
  <c r="AG13" i="12"/>
  <c r="U26" i="12"/>
  <c r="T60" i="12"/>
  <c r="T34" i="12"/>
  <c r="T47" i="12"/>
  <c r="J60" i="12"/>
  <c r="AG52" i="12"/>
  <c r="AH55" i="12" s="1"/>
  <c r="AG43" i="12"/>
  <c r="AG26" i="12"/>
  <c r="AH28" i="12" s="1"/>
  <c r="F30" i="12"/>
  <c r="K43" i="12" s="1"/>
  <c r="F47" i="12"/>
  <c r="P30" i="12"/>
  <c r="F60" i="12"/>
  <c r="K73" i="12" s="1"/>
  <c r="P47" i="12"/>
  <c r="G20" i="12"/>
  <c r="G21" i="12" s="1"/>
  <c r="G17" i="12"/>
  <c r="E34" i="12"/>
  <c r="N34" i="12"/>
  <c r="AE30" i="12"/>
  <c r="AD34" i="12"/>
  <c r="U52" i="12"/>
  <c r="Q53" i="12"/>
  <c r="Q52" i="12"/>
  <c r="Q54" i="12"/>
  <c r="O21" i="12"/>
  <c r="AF21" i="12" s="1"/>
  <c r="AF17" i="12"/>
  <c r="Q55" i="12"/>
  <c r="Q14" i="12"/>
  <c r="Q13" i="12"/>
  <c r="N21" i="12"/>
  <c r="AE17" i="12"/>
  <c r="G56" i="12"/>
  <c r="G58" i="12"/>
  <c r="G57" i="12"/>
  <c r="K56" i="12"/>
  <c r="G59" i="12"/>
  <c r="G60" i="12" s="1"/>
  <c r="AD60" i="12"/>
  <c r="Q16" i="12"/>
  <c r="K26" i="12"/>
  <c r="G27" i="12"/>
  <c r="G26" i="12"/>
  <c r="G28" i="12"/>
  <c r="G29" i="12"/>
  <c r="Q44" i="12"/>
  <c r="Q43" i="12"/>
  <c r="Q45" i="12"/>
  <c r="Q46" i="12"/>
  <c r="Q47" i="12" s="1"/>
  <c r="N60" i="12"/>
  <c r="P60" i="12" s="1"/>
  <c r="AE56" i="12"/>
  <c r="G46" i="12"/>
  <c r="G47" i="12" s="1"/>
  <c r="G45" i="12"/>
  <c r="G44" i="12"/>
  <c r="G43" i="12"/>
  <c r="AE47" i="12"/>
  <c r="D34" i="12"/>
  <c r="U29" i="12"/>
  <c r="Q29" i="12"/>
  <c r="AD47" i="12"/>
  <c r="AF47" i="12"/>
  <c r="AF30" i="12"/>
  <c r="Q15" i="12"/>
  <c r="H65" i="3" l="1"/>
  <c r="B27" i="2"/>
  <c r="B26" i="2" s="1"/>
  <c r="C26" i="2" s="1"/>
  <c r="G120" i="3"/>
  <c r="AK73" i="12"/>
  <c r="AR44" i="12" s="1"/>
  <c r="H34" i="3"/>
  <c r="H110" i="3"/>
  <c r="H118" i="3"/>
  <c r="H171" i="3" s="1"/>
  <c r="E65" i="3"/>
  <c r="H29" i="13"/>
  <c r="G42" i="13"/>
  <c r="AL52" i="12"/>
  <c r="AO33" i="12" s="1"/>
  <c r="AH52" i="12"/>
  <c r="AH53" i="12"/>
  <c r="AH54" i="12"/>
  <c r="AL65" i="12"/>
  <c r="AO34" i="12" s="1"/>
  <c r="AO57" i="12"/>
  <c r="AP57" i="12"/>
  <c r="AQ57" i="12"/>
  <c r="AH71" i="12"/>
  <c r="AH70" i="12"/>
  <c r="AH69" i="12"/>
  <c r="AH72" i="12"/>
  <c r="AH73" i="12" s="1"/>
  <c r="AH43" i="12"/>
  <c r="AH46" i="12"/>
  <c r="AH47" i="12" s="1"/>
  <c r="AH45" i="12"/>
  <c r="AH44" i="12"/>
  <c r="AL26" i="12"/>
  <c r="AO31" i="12" s="1"/>
  <c r="AH27" i="12"/>
  <c r="AH26" i="12"/>
  <c r="AH14" i="12"/>
  <c r="AH13" i="12"/>
  <c r="AH15" i="12"/>
  <c r="AH16" i="12"/>
  <c r="AH29" i="12"/>
  <c r="U73" i="12"/>
  <c r="AL39" i="12"/>
  <c r="AO32" i="12" s="1"/>
  <c r="AL29" i="12"/>
  <c r="AP31" i="12" s="1"/>
  <c r="K60" i="12"/>
  <c r="AG47" i="12"/>
  <c r="F35" i="3" s="1"/>
  <c r="F110" i="3" s="1"/>
  <c r="F168" i="3" s="1"/>
  <c r="AG17" i="12"/>
  <c r="AG30" i="12"/>
  <c r="P21" i="12"/>
  <c r="AG56" i="12"/>
  <c r="P34" i="12"/>
  <c r="F34" i="12"/>
  <c r="K34" i="12" s="1"/>
  <c r="AF34" i="12"/>
  <c r="AP32" i="12"/>
  <c r="AE60" i="12"/>
  <c r="Q20" i="12"/>
  <c r="Q21" i="12" s="1"/>
  <c r="Q19" i="12"/>
  <c r="Q18" i="12"/>
  <c r="Q17" i="12"/>
  <c r="Q57" i="12"/>
  <c r="U56" i="12"/>
  <c r="Q56" i="12"/>
  <c r="Q59" i="12"/>
  <c r="Q60" i="12" s="1"/>
  <c r="Q58" i="12"/>
  <c r="Q31" i="12"/>
  <c r="U30" i="12"/>
  <c r="Q30" i="12"/>
  <c r="Q33" i="12"/>
  <c r="Q34" i="12" s="1"/>
  <c r="Q32" i="12"/>
  <c r="U43" i="12"/>
  <c r="U60" i="12"/>
  <c r="AE21" i="12"/>
  <c r="AG21" i="12" s="1"/>
  <c r="G31" i="12"/>
  <c r="G30" i="12"/>
  <c r="G33" i="12"/>
  <c r="G34" i="12" s="1"/>
  <c r="G32" i="12"/>
  <c r="K30" i="12"/>
  <c r="AE34" i="12"/>
  <c r="AG34" i="12" s="1"/>
  <c r="E35" i="3" s="1"/>
  <c r="E110" i="3" s="1"/>
  <c r="E168" i="3" s="1"/>
  <c r="H168" i="3" l="1"/>
  <c r="H112" i="3"/>
  <c r="J110" i="3"/>
  <c r="J168" i="3" s="1"/>
  <c r="J118" i="3"/>
  <c r="J171" i="3" s="1"/>
  <c r="H120" i="3"/>
  <c r="AO53" i="12"/>
  <c r="D35" i="3"/>
  <c r="D110" i="3" s="1"/>
  <c r="D168" i="3" s="1"/>
  <c r="L59" i="13"/>
  <c r="E58" i="3"/>
  <c r="E118" i="3" s="1"/>
  <c r="E171" i="3" s="1"/>
  <c r="L42" i="13"/>
  <c r="H26" i="13"/>
  <c r="H27" i="13"/>
  <c r="H28" i="13"/>
  <c r="H33" i="13"/>
  <c r="AL34" i="12"/>
  <c r="AO54" i="12"/>
  <c r="AH56" i="12"/>
  <c r="AH59" i="12"/>
  <c r="AH60" i="12" s="1"/>
  <c r="AH58" i="12"/>
  <c r="AH57" i="12"/>
  <c r="AL69" i="12"/>
  <c r="AQ34" i="12" s="1"/>
  <c r="AH18" i="12"/>
  <c r="AH17" i="12"/>
  <c r="AH20" i="12"/>
  <c r="AH21" i="12" s="1"/>
  <c r="AH19" i="12"/>
  <c r="AL30" i="12"/>
  <c r="AQ31" i="12" s="1"/>
  <c r="AH31" i="12"/>
  <c r="AH30" i="12"/>
  <c r="AH33" i="12"/>
  <c r="AH34" i="12" s="1"/>
  <c r="AH32" i="12"/>
  <c r="AL43" i="12"/>
  <c r="AQ32" i="12" s="1"/>
  <c r="AL56" i="12"/>
  <c r="AQ33" i="12" s="1"/>
  <c r="AL47" i="12"/>
  <c r="AG60" i="12"/>
  <c r="G35" i="3" s="1"/>
  <c r="G110" i="3" s="1"/>
  <c r="G168" i="3" s="1"/>
  <c r="U34" i="12"/>
  <c r="AQ53" i="12"/>
  <c r="AP53" i="12"/>
  <c r="AO55" i="12"/>
  <c r="AQ55" i="12"/>
  <c r="AP55" i="12"/>
  <c r="U47" i="12"/>
  <c r="K47" i="12"/>
  <c r="E120" i="3" l="1"/>
  <c r="J120" i="3"/>
  <c r="AQ56" i="12"/>
  <c r="AL73" i="12"/>
  <c r="AR34" i="12" s="1"/>
  <c r="AP56" i="12"/>
  <c r="AL60" i="12"/>
  <c r="AR33" i="12" s="1"/>
  <c r="AO56" i="12"/>
  <c r="AR31" i="12"/>
  <c r="AQ54" i="12"/>
  <c r="AP54" i="12"/>
  <c r="AR32" i="12"/>
  <c r="AE14" i="11" l="1"/>
  <c r="AD14" i="11"/>
  <c r="AC14" i="11"/>
  <c r="AB14" i="11"/>
  <c r="AE6" i="11"/>
  <c r="AD6" i="11"/>
  <c r="AC6" i="11"/>
  <c r="AB6" i="11"/>
  <c r="L24" i="11"/>
  <c r="AP22" i="11" s="1"/>
  <c r="L80" i="11"/>
  <c r="L76" i="11"/>
  <c r="AP71" i="11" s="1"/>
  <c r="F88" i="11"/>
  <c r="O88" i="11" s="1"/>
  <c r="E88" i="11"/>
  <c r="D88" i="11"/>
  <c r="V82" i="11" s="1"/>
  <c r="C88" i="11"/>
  <c r="O87" i="11"/>
  <c r="N87" i="11"/>
  <c r="M87" i="11"/>
  <c r="L87" i="11"/>
  <c r="J87" i="11"/>
  <c r="I87" i="11"/>
  <c r="H87" i="11"/>
  <c r="G87" i="11"/>
  <c r="O86" i="11"/>
  <c r="N86" i="11"/>
  <c r="M86" i="11"/>
  <c r="L86" i="11"/>
  <c r="J86" i="11"/>
  <c r="I86" i="11"/>
  <c r="H86" i="11"/>
  <c r="G86" i="11"/>
  <c r="O85" i="11"/>
  <c r="N85" i="11"/>
  <c r="M85" i="11"/>
  <c r="L85" i="11"/>
  <c r="J85" i="11"/>
  <c r="I85" i="11"/>
  <c r="H85" i="11"/>
  <c r="G85" i="11"/>
  <c r="O84" i="11"/>
  <c r="N84" i="11"/>
  <c r="M84" i="11"/>
  <c r="L84" i="11"/>
  <c r="J84" i="11"/>
  <c r="I84" i="11"/>
  <c r="H84" i="11"/>
  <c r="G84" i="11"/>
  <c r="O83" i="11"/>
  <c r="N83" i="11"/>
  <c r="M83" i="11"/>
  <c r="L83" i="11"/>
  <c r="J83" i="11"/>
  <c r="I83" i="11"/>
  <c r="H83" i="11"/>
  <c r="G83" i="11"/>
  <c r="O82" i="11"/>
  <c r="N82" i="11"/>
  <c r="M82" i="11"/>
  <c r="L82" i="11"/>
  <c r="J82" i="11"/>
  <c r="I82" i="11"/>
  <c r="H82" i="11"/>
  <c r="G82" i="11"/>
  <c r="O81" i="11"/>
  <c r="N81" i="11"/>
  <c r="M81" i="11"/>
  <c r="L81" i="11"/>
  <c r="J81" i="11"/>
  <c r="I81" i="11"/>
  <c r="H81" i="11"/>
  <c r="G81" i="11"/>
  <c r="O80" i="11"/>
  <c r="N80" i="11"/>
  <c r="M80" i="11"/>
  <c r="J80" i="11"/>
  <c r="I80" i="11"/>
  <c r="H80" i="11"/>
  <c r="H88" i="11" s="1"/>
  <c r="G80" i="11"/>
  <c r="G88" i="11" s="1"/>
  <c r="O79" i="11"/>
  <c r="N79" i="11"/>
  <c r="M79" i="11"/>
  <c r="L79" i="11"/>
  <c r="J79" i="11"/>
  <c r="I79" i="11"/>
  <c r="H79" i="11"/>
  <c r="G79" i="11"/>
  <c r="O78" i="11"/>
  <c r="N78" i="11"/>
  <c r="M78" i="11"/>
  <c r="AQ73" i="11" s="1"/>
  <c r="L78" i="11"/>
  <c r="AP73" i="11" s="1"/>
  <c r="J78" i="11"/>
  <c r="I78" i="11"/>
  <c r="H78" i="11"/>
  <c r="G78" i="11"/>
  <c r="O77" i="11"/>
  <c r="N77" i="11"/>
  <c r="M77" i="11"/>
  <c r="AQ72" i="11" s="1"/>
  <c r="L77" i="11"/>
  <c r="AP72" i="11" s="1"/>
  <c r="J77" i="11"/>
  <c r="I77" i="11"/>
  <c r="H77" i="11"/>
  <c r="G77" i="11"/>
  <c r="O76" i="11"/>
  <c r="N76" i="11"/>
  <c r="M76" i="11"/>
  <c r="AQ71" i="11" s="1"/>
  <c r="J76" i="11"/>
  <c r="I76" i="11"/>
  <c r="H76" i="11"/>
  <c r="G76" i="11"/>
  <c r="E75" i="11"/>
  <c r="D75" i="11"/>
  <c r="V81" i="11" s="1"/>
  <c r="C75" i="11"/>
  <c r="O74" i="11"/>
  <c r="N74" i="11"/>
  <c r="M74" i="11"/>
  <c r="AQ69" i="11" s="1"/>
  <c r="L74" i="11"/>
  <c r="AP69" i="11" s="1"/>
  <c r="J74" i="11"/>
  <c r="I74" i="11"/>
  <c r="H74" i="11"/>
  <c r="G74" i="11"/>
  <c r="O73" i="11"/>
  <c r="N73" i="11"/>
  <c r="M73" i="11"/>
  <c r="AQ68" i="11" s="1"/>
  <c r="L73" i="11"/>
  <c r="AP68" i="11" s="1"/>
  <c r="J73" i="11"/>
  <c r="I73" i="11"/>
  <c r="H73" i="11"/>
  <c r="G73" i="11"/>
  <c r="O72" i="11"/>
  <c r="N72" i="11"/>
  <c r="M72" i="11"/>
  <c r="AQ67" i="11" s="1"/>
  <c r="L72" i="11"/>
  <c r="AP67" i="11" s="1"/>
  <c r="J72" i="11"/>
  <c r="I72" i="11"/>
  <c r="H72" i="11"/>
  <c r="G72" i="11"/>
  <c r="O71" i="11"/>
  <c r="N71" i="11"/>
  <c r="M71" i="11"/>
  <c r="AQ66" i="11" s="1"/>
  <c r="L71" i="11"/>
  <c r="AP66" i="11" s="1"/>
  <c r="J71" i="11"/>
  <c r="I71" i="11"/>
  <c r="H71" i="11"/>
  <c r="G71" i="11"/>
  <c r="O70" i="11"/>
  <c r="N70" i="11"/>
  <c r="M70" i="11"/>
  <c r="AQ65" i="11" s="1"/>
  <c r="L70" i="11"/>
  <c r="AP65" i="11" s="1"/>
  <c r="J70" i="11"/>
  <c r="I70" i="11"/>
  <c r="H70" i="11"/>
  <c r="G70" i="11"/>
  <c r="O69" i="11"/>
  <c r="N69" i="11"/>
  <c r="M69" i="11"/>
  <c r="AQ64" i="11" s="1"/>
  <c r="L69" i="11"/>
  <c r="AP64" i="11" s="1"/>
  <c r="J69" i="11"/>
  <c r="I69" i="11"/>
  <c r="H69" i="11"/>
  <c r="G69" i="11"/>
  <c r="O68" i="11"/>
  <c r="N68" i="11"/>
  <c r="M68" i="11"/>
  <c r="AQ63" i="11" s="1"/>
  <c r="L68" i="11"/>
  <c r="AP63" i="11" s="1"/>
  <c r="J68" i="11"/>
  <c r="I68" i="11"/>
  <c r="H68" i="11"/>
  <c r="G68" i="11"/>
  <c r="O67" i="11"/>
  <c r="N67" i="11"/>
  <c r="M67" i="11"/>
  <c r="AQ62" i="11" s="1"/>
  <c r="L67" i="11"/>
  <c r="AP62" i="11" s="1"/>
  <c r="J67" i="11"/>
  <c r="J75" i="11" s="1"/>
  <c r="I67" i="11"/>
  <c r="I75" i="11" s="1"/>
  <c r="H67" i="11"/>
  <c r="H75" i="11" s="1"/>
  <c r="G67" i="11"/>
  <c r="G75" i="11" s="1"/>
  <c r="O66" i="11"/>
  <c r="N66" i="11"/>
  <c r="M66" i="11"/>
  <c r="AQ61" i="11" s="1"/>
  <c r="L66" i="11"/>
  <c r="AP61" i="11" s="1"/>
  <c r="J66" i="11"/>
  <c r="I66" i="11"/>
  <c r="H66" i="11"/>
  <c r="G66" i="11"/>
  <c r="O65" i="11"/>
  <c r="N65" i="11"/>
  <c r="M65" i="11"/>
  <c r="AQ60" i="11" s="1"/>
  <c r="L65" i="11"/>
  <c r="AP60" i="11" s="1"/>
  <c r="J65" i="11"/>
  <c r="I65" i="11"/>
  <c r="H65" i="11"/>
  <c r="G65" i="11"/>
  <c r="O64" i="11"/>
  <c r="N64" i="11"/>
  <c r="M64" i="11"/>
  <c r="AQ59" i="11" s="1"/>
  <c r="L64" i="11"/>
  <c r="AP59" i="11" s="1"/>
  <c r="J64" i="11"/>
  <c r="I64" i="11"/>
  <c r="H64" i="11"/>
  <c r="G64" i="11"/>
  <c r="O63" i="11"/>
  <c r="N63" i="11"/>
  <c r="M63" i="11"/>
  <c r="AQ58" i="11" s="1"/>
  <c r="L63" i="11"/>
  <c r="AP58" i="11" s="1"/>
  <c r="J63" i="11"/>
  <c r="I63" i="11"/>
  <c r="H63" i="11"/>
  <c r="G63" i="11"/>
  <c r="F62" i="11"/>
  <c r="E62" i="11"/>
  <c r="D62" i="11"/>
  <c r="V80" i="11" s="1"/>
  <c r="C62" i="11"/>
  <c r="O61" i="11"/>
  <c r="N61" i="11"/>
  <c r="M61" i="11"/>
  <c r="AQ57" i="11" s="1"/>
  <c r="L61" i="11"/>
  <c r="AP57" i="11" s="1"/>
  <c r="J61" i="11"/>
  <c r="I61" i="11"/>
  <c r="H61" i="11"/>
  <c r="G61" i="11"/>
  <c r="O60" i="11"/>
  <c r="N60" i="11"/>
  <c r="M60" i="11"/>
  <c r="AQ56" i="11" s="1"/>
  <c r="L60" i="11"/>
  <c r="AP56" i="11" s="1"/>
  <c r="J60" i="11"/>
  <c r="I60" i="11"/>
  <c r="H60" i="11"/>
  <c r="G60" i="11"/>
  <c r="O59" i="11"/>
  <c r="N59" i="11"/>
  <c r="M59" i="11"/>
  <c r="AQ55" i="11" s="1"/>
  <c r="L59" i="11"/>
  <c r="AP55" i="11" s="1"/>
  <c r="J59" i="11"/>
  <c r="I59" i="11"/>
  <c r="H59" i="11"/>
  <c r="G59" i="11"/>
  <c r="O58" i="11"/>
  <c r="N58" i="11"/>
  <c r="M58" i="11"/>
  <c r="AQ54" i="11" s="1"/>
  <c r="L58" i="11"/>
  <c r="AP54" i="11" s="1"/>
  <c r="J58" i="11"/>
  <c r="I58" i="11"/>
  <c r="H58" i="11"/>
  <c r="G58" i="11"/>
  <c r="O57" i="11"/>
  <c r="N57" i="11"/>
  <c r="M57" i="11"/>
  <c r="AQ53" i="11" s="1"/>
  <c r="L57" i="11"/>
  <c r="AP53" i="11" s="1"/>
  <c r="J57" i="11"/>
  <c r="I57" i="11"/>
  <c r="H57" i="11"/>
  <c r="G57" i="11"/>
  <c r="O56" i="11"/>
  <c r="N56" i="11"/>
  <c r="M56" i="11"/>
  <c r="AQ52" i="11" s="1"/>
  <c r="L56" i="11"/>
  <c r="AP52" i="11" s="1"/>
  <c r="J56" i="11"/>
  <c r="I56" i="11"/>
  <c r="H56" i="11"/>
  <c r="G56" i="11"/>
  <c r="O55" i="11"/>
  <c r="N55" i="11"/>
  <c r="M55" i="11"/>
  <c r="AQ51" i="11" s="1"/>
  <c r="L55" i="11"/>
  <c r="AP51" i="11" s="1"/>
  <c r="J55" i="11"/>
  <c r="I55" i="11"/>
  <c r="H55" i="11"/>
  <c r="G55" i="11"/>
  <c r="O54" i="11"/>
  <c r="N54" i="11"/>
  <c r="M54" i="11"/>
  <c r="AQ50" i="11" s="1"/>
  <c r="L54" i="11"/>
  <c r="AP50" i="11" s="1"/>
  <c r="J54" i="11"/>
  <c r="J62" i="11" s="1"/>
  <c r="I54" i="11"/>
  <c r="I62" i="11" s="1"/>
  <c r="H54" i="11"/>
  <c r="G54" i="11"/>
  <c r="O53" i="11"/>
  <c r="N53" i="11"/>
  <c r="M53" i="11"/>
  <c r="AQ49" i="11" s="1"/>
  <c r="L53" i="11"/>
  <c r="AP49" i="11" s="1"/>
  <c r="J53" i="11"/>
  <c r="I53" i="11"/>
  <c r="H53" i="11"/>
  <c r="G53" i="11"/>
  <c r="O52" i="11"/>
  <c r="N52" i="11"/>
  <c r="M52" i="11"/>
  <c r="AQ48" i="11" s="1"/>
  <c r="L52" i="11"/>
  <c r="AP48" i="11" s="1"/>
  <c r="J52" i="11"/>
  <c r="I52" i="11"/>
  <c r="H52" i="11"/>
  <c r="G52" i="11"/>
  <c r="O51" i="11"/>
  <c r="N51" i="11"/>
  <c r="M51" i="11"/>
  <c r="AQ47" i="11" s="1"/>
  <c r="L51" i="11"/>
  <c r="AP47" i="11" s="1"/>
  <c r="J51" i="11"/>
  <c r="I51" i="11"/>
  <c r="H51" i="11"/>
  <c r="G51" i="11"/>
  <c r="O50" i="11"/>
  <c r="N50" i="11"/>
  <c r="M50" i="11"/>
  <c r="AQ46" i="11" s="1"/>
  <c r="L50" i="11"/>
  <c r="AP46" i="11" s="1"/>
  <c r="J50" i="11"/>
  <c r="I50" i="11"/>
  <c r="H50" i="11"/>
  <c r="G50" i="11"/>
  <c r="F49" i="11"/>
  <c r="E49" i="11"/>
  <c r="D49" i="11"/>
  <c r="V79" i="11" s="1"/>
  <c r="C49" i="11"/>
  <c r="O48" i="11"/>
  <c r="N48" i="11"/>
  <c r="M48" i="11"/>
  <c r="AQ45" i="11" s="1"/>
  <c r="L48" i="11"/>
  <c r="AP45" i="11" s="1"/>
  <c r="J48" i="11"/>
  <c r="I48" i="11"/>
  <c r="H48" i="11"/>
  <c r="G48" i="11"/>
  <c r="O47" i="11"/>
  <c r="N47" i="11"/>
  <c r="M47" i="11"/>
  <c r="AQ44" i="11" s="1"/>
  <c r="L47" i="11"/>
  <c r="AP44" i="11" s="1"/>
  <c r="J47" i="11"/>
  <c r="I47" i="11"/>
  <c r="H47" i="11"/>
  <c r="G47" i="11"/>
  <c r="O46" i="11"/>
  <c r="N46" i="11"/>
  <c r="M46" i="11"/>
  <c r="AQ43" i="11" s="1"/>
  <c r="L46" i="11"/>
  <c r="AP43" i="11" s="1"/>
  <c r="J46" i="11"/>
  <c r="I46" i="11"/>
  <c r="H46" i="11"/>
  <c r="G46" i="11"/>
  <c r="O45" i="11"/>
  <c r="N45" i="11"/>
  <c r="M45" i="11"/>
  <c r="AQ42" i="11" s="1"/>
  <c r="L45" i="11"/>
  <c r="AP42" i="11" s="1"/>
  <c r="J45" i="11"/>
  <c r="I45" i="11"/>
  <c r="R58" i="11" s="1"/>
  <c r="H45" i="11"/>
  <c r="G45" i="11"/>
  <c r="O44" i="11"/>
  <c r="N44" i="11"/>
  <c r="M44" i="11"/>
  <c r="AQ41" i="11" s="1"/>
  <c r="L44" i="11"/>
  <c r="AP41" i="11" s="1"/>
  <c r="J44" i="11"/>
  <c r="I44" i="11"/>
  <c r="H44" i="11"/>
  <c r="G44" i="11"/>
  <c r="O43" i="11"/>
  <c r="N43" i="11"/>
  <c r="M43" i="11"/>
  <c r="AQ40" i="11" s="1"/>
  <c r="L43" i="11"/>
  <c r="AP40" i="11" s="1"/>
  <c r="J43" i="11"/>
  <c r="I43" i="11"/>
  <c r="H43" i="11"/>
  <c r="G43" i="11"/>
  <c r="O42" i="11"/>
  <c r="N42" i="11"/>
  <c r="M42" i="11"/>
  <c r="AQ39" i="11" s="1"/>
  <c r="L42" i="11"/>
  <c r="AP39" i="11" s="1"/>
  <c r="J42" i="11"/>
  <c r="S55" i="11" s="1"/>
  <c r="I42" i="11"/>
  <c r="H42" i="11"/>
  <c r="G42" i="11"/>
  <c r="O41" i="11"/>
  <c r="N41" i="11"/>
  <c r="M41" i="11"/>
  <c r="AQ38" i="11" s="1"/>
  <c r="L41" i="11"/>
  <c r="AP38" i="11" s="1"/>
  <c r="J41" i="11"/>
  <c r="I41" i="11"/>
  <c r="H41" i="11"/>
  <c r="H49" i="11" s="1"/>
  <c r="G41" i="11"/>
  <c r="G49" i="11" s="1"/>
  <c r="O40" i="11"/>
  <c r="N40" i="11"/>
  <c r="M40" i="11"/>
  <c r="AQ37" i="11" s="1"/>
  <c r="L40" i="11"/>
  <c r="AP37" i="11" s="1"/>
  <c r="J40" i="11"/>
  <c r="I40" i="11"/>
  <c r="H40" i="11"/>
  <c r="G40" i="11"/>
  <c r="O39" i="11"/>
  <c r="N39" i="11"/>
  <c r="M39" i="11"/>
  <c r="AQ36" i="11" s="1"/>
  <c r="L39" i="11"/>
  <c r="AP36" i="11" s="1"/>
  <c r="J39" i="11"/>
  <c r="I39" i="11"/>
  <c r="H39" i="11"/>
  <c r="G39" i="11"/>
  <c r="O38" i="11"/>
  <c r="N38" i="11"/>
  <c r="M38" i="11"/>
  <c r="AQ35" i="11" s="1"/>
  <c r="L38" i="11"/>
  <c r="AP35" i="11" s="1"/>
  <c r="J38" i="11"/>
  <c r="I38" i="11"/>
  <c r="H38" i="11"/>
  <c r="G38" i="11"/>
  <c r="O37" i="11"/>
  <c r="N37" i="11"/>
  <c r="M37" i="11"/>
  <c r="AQ34" i="11" s="1"/>
  <c r="L37" i="11"/>
  <c r="AP34" i="11" s="1"/>
  <c r="J37" i="11"/>
  <c r="I37" i="11"/>
  <c r="H37" i="11"/>
  <c r="G37" i="11"/>
  <c r="F36" i="11"/>
  <c r="E36" i="11"/>
  <c r="D36" i="11"/>
  <c r="C36" i="11"/>
  <c r="O35" i="11"/>
  <c r="N35" i="11"/>
  <c r="M35" i="11"/>
  <c r="AQ33" i="11" s="1"/>
  <c r="L35" i="11"/>
  <c r="AP33" i="11" s="1"/>
  <c r="J35" i="11"/>
  <c r="I35" i="11"/>
  <c r="H35" i="11"/>
  <c r="G35" i="11"/>
  <c r="O34" i="11"/>
  <c r="N34" i="11"/>
  <c r="M34" i="11"/>
  <c r="AQ32" i="11" s="1"/>
  <c r="L34" i="11"/>
  <c r="AP32" i="11" s="1"/>
  <c r="J34" i="11"/>
  <c r="I34" i="11"/>
  <c r="H34" i="11"/>
  <c r="G34" i="11"/>
  <c r="O33" i="11"/>
  <c r="N33" i="11"/>
  <c r="M33" i="11"/>
  <c r="AQ31" i="11" s="1"/>
  <c r="L33" i="11"/>
  <c r="AP31" i="11" s="1"/>
  <c r="J33" i="11"/>
  <c r="I33" i="11"/>
  <c r="H33" i="11"/>
  <c r="G33" i="11"/>
  <c r="O32" i="11"/>
  <c r="N32" i="11"/>
  <c r="M32" i="11"/>
  <c r="AQ30" i="11" s="1"/>
  <c r="L32" i="11"/>
  <c r="AP30" i="11" s="1"/>
  <c r="J32" i="11"/>
  <c r="I32" i="11"/>
  <c r="H32" i="11"/>
  <c r="G32" i="11"/>
  <c r="O31" i="11"/>
  <c r="N31" i="11"/>
  <c r="M31" i="11"/>
  <c r="AQ29" i="11" s="1"/>
  <c r="L31" i="11"/>
  <c r="AP29" i="11" s="1"/>
  <c r="J31" i="11"/>
  <c r="I31" i="11"/>
  <c r="H31" i="11"/>
  <c r="G31" i="11"/>
  <c r="O30" i="11"/>
  <c r="N30" i="11"/>
  <c r="M30" i="11"/>
  <c r="AQ28" i="11" s="1"/>
  <c r="L30" i="11"/>
  <c r="AP28" i="11" s="1"/>
  <c r="J30" i="11"/>
  <c r="I30" i="11"/>
  <c r="H30" i="11"/>
  <c r="G30" i="11"/>
  <c r="O29" i="11"/>
  <c r="N29" i="11"/>
  <c r="M29" i="11"/>
  <c r="AQ27" i="11" s="1"/>
  <c r="L29" i="11"/>
  <c r="AP27" i="11" s="1"/>
  <c r="J29" i="11"/>
  <c r="I29" i="11"/>
  <c r="H29" i="11"/>
  <c r="G29" i="11"/>
  <c r="O28" i="11"/>
  <c r="N28" i="11"/>
  <c r="M28" i="11"/>
  <c r="AQ26" i="11" s="1"/>
  <c r="L28" i="11"/>
  <c r="AP26" i="11" s="1"/>
  <c r="J28" i="11"/>
  <c r="J36" i="11" s="1"/>
  <c r="I28" i="11"/>
  <c r="I36" i="11" s="1"/>
  <c r="H28" i="11"/>
  <c r="G28" i="11"/>
  <c r="G36" i="11" s="1"/>
  <c r="O27" i="11"/>
  <c r="N27" i="11"/>
  <c r="M27" i="11"/>
  <c r="AQ25" i="11" s="1"/>
  <c r="L27" i="11"/>
  <c r="AP25" i="11" s="1"/>
  <c r="J27" i="11"/>
  <c r="I27" i="11"/>
  <c r="H27" i="11"/>
  <c r="G27" i="11"/>
  <c r="O26" i="11"/>
  <c r="N26" i="11"/>
  <c r="M26" i="11"/>
  <c r="AQ24" i="11" s="1"/>
  <c r="L26" i="11"/>
  <c r="AP24" i="11" s="1"/>
  <c r="J26" i="11"/>
  <c r="I26" i="11"/>
  <c r="H26" i="11"/>
  <c r="G26" i="11"/>
  <c r="O25" i="11"/>
  <c r="N25" i="11"/>
  <c r="M25" i="11"/>
  <c r="AQ23" i="11" s="1"/>
  <c r="L25" i="11"/>
  <c r="AP23" i="11" s="1"/>
  <c r="J25" i="11"/>
  <c r="I25" i="11"/>
  <c r="H25" i="11"/>
  <c r="G25" i="11"/>
  <c r="O24" i="11"/>
  <c r="N24" i="11"/>
  <c r="M24" i="11"/>
  <c r="AQ22" i="11" s="1"/>
  <c r="J24" i="11"/>
  <c r="I24" i="11"/>
  <c r="H24" i="11"/>
  <c r="G24" i="11"/>
  <c r="F23" i="11"/>
  <c r="E23" i="11"/>
  <c r="D23" i="11"/>
  <c r="V77" i="11" s="1"/>
  <c r="C23" i="11"/>
  <c r="J22" i="11"/>
  <c r="I22" i="11"/>
  <c r="H22" i="11"/>
  <c r="G22" i="11"/>
  <c r="J21" i="11"/>
  <c r="I21" i="11"/>
  <c r="H21" i="11"/>
  <c r="G21" i="11"/>
  <c r="J20" i="11"/>
  <c r="I20" i="11"/>
  <c r="H20" i="11"/>
  <c r="G20" i="11"/>
  <c r="J19" i="11"/>
  <c r="I19" i="11"/>
  <c r="R32" i="11" s="1"/>
  <c r="H19" i="11"/>
  <c r="G19" i="11"/>
  <c r="J18" i="11"/>
  <c r="I18" i="11"/>
  <c r="H18" i="11"/>
  <c r="G18" i="11"/>
  <c r="J17" i="11"/>
  <c r="I17" i="11"/>
  <c r="H17" i="11"/>
  <c r="G17" i="11"/>
  <c r="Y14" i="11"/>
  <c r="X14" i="11"/>
  <c r="W14" i="11"/>
  <c r="V14" i="11"/>
  <c r="J16" i="11"/>
  <c r="I16" i="11"/>
  <c r="H16" i="11"/>
  <c r="G16" i="11"/>
  <c r="J15" i="11"/>
  <c r="J23" i="11" s="1"/>
  <c r="I15" i="11"/>
  <c r="I23" i="11" s="1"/>
  <c r="H15" i="11"/>
  <c r="H23" i="11" s="1"/>
  <c r="G15" i="11"/>
  <c r="G23" i="11" s="1"/>
  <c r="J14" i="11"/>
  <c r="I14" i="11"/>
  <c r="H14" i="11"/>
  <c r="G14" i="11"/>
  <c r="J13" i="11"/>
  <c r="I13" i="11"/>
  <c r="H13" i="11"/>
  <c r="G13" i="11"/>
  <c r="J12" i="11"/>
  <c r="I12" i="11"/>
  <c r="H12" i="11"/>
  <c r="G12" i="11"/>
  <c r="J11" i="11"/>
  <c r="I11" i="11"/>
  <c r="H11" i="11"/>
  <c r="G11" i="11"/>
  <c r="AQ9" i="11"/>
  <c r="AP9" i="11"/>
  <c r="Y6" i="11"/>
  <c r="X6" i="11"/>
  <c r="W6" i="11"/>
  <c r="V6" i="11"/>
  <c r="AO2" i="11"/>
  <c r="AO11" i="11" s="1"/>
  <c r="AO12" i="11" s="1"/>
  <c r="AO13" i="11" s="1"/>
  <c r="AO14" i="11" s="1"/>
  <c r="AO15" i="11" s="1"/>
  <c r="AO16" i="11" s="1"/>
  <c r="AO17" i="11" s="1"/>
  <c r="AO18" i="11" s="1"/>
  <c r="AO19" i="11" s="1"/>
  <c r="AO20" i="11" s="1"/>
  <c r="AO21" i="11" s="1"/>
  <c r="AO22" i="11" s="1"/>
  <c r="AO23" i="11" s="1"/>
  <c r="AO24" i="11" s="1"/>
  <c r="AO25" i="11" s="1"/>
  <c r="AO26" i="11" s="1"/>
  <c r="AO27" i="11" s="1"/>
  <c r="AO28" i="11" s="1"/>
  <c r="AO29" i="11" s="1"/>
  <c r="AO30" i="11" s="1"/>
  <c r="AO31" i="11" s="1"/>
  <c r="AO32" i="11" s="1"/>
  <c r="AO33" i="11" s="1"/>
  <c r="AO34" i="11" s="1"/>
  <c r="AO35" i="11" s="1"/>
  <c r="AO36" i="11" s="1"/>
  <c r="AO37" i="11" s="1"/>
  <c r="AO38" i="11" s="1"/>
  <c r="AO39" i="11" s="1"/>
  <c r="AO40" i="11" s="1"/>
  <c r="AO41" i="11" s="1"/>
  <c r="AO42" i="11" s="1"/>
  <c r="AO43" i="11" s="1"/>
  <c r="AO44" i="11" s="1"/>
  <c r="AO45" i="11" s="1"/>
  <c r="AO46" i="11" s="1"/>
  <c r="AO47" i="11" s="1"/>
  <c r="AO48" i="11" s="1"/>
  <c r="AO49" i="11" s="1"/>
  <c r="AO50" i="11" s="1"/>
  <c r="AO51" i="11" s="1"/>
  <c r="AO52" i="11" s="1"/>
  <c r="AO53" i="11" s="1"/>
  <c r="AO54" i="11" s="1"/>
  <c r="AO55" i="11" s="1"/>
  <c r="AO56" i="11" s="1"/>
  <c r="AO57" i="11" s="1"/>
  <c r="AO58" i="11" s="1"/>
  <c r="AO59" i="11" s="1"/>
  <c r="AO60" i="11" s="1"/>
  <c r="AO61" i="11" s="1"/>
  <c r="AO62" i="11" s="1"/>
  <c r="AO63" i="11" s="1"/>
  <c r="AO64" i="11" s="1"/>
  <c r="AO65" i="11" s="1"/>
  <c r="AO66" i="11" s="1"/>
  <c r="AO67" i="11" s="1"/>
  <c r="AO68" i="11" s="1"/>
  <c r="AO69" i="11" s="1"/>
  <c r="AO70" i="11" s="1"/>
  <c r="AO71" i="11" s="1"/>
  <c r="AO72" i="11" s="1"/>
  <c r="AO73" i="11" s="1"/>
  <c r="AL2" i="11"/>
  <c r="AL11" i="11" s="1"/>
  <c r="AD11" i="11" l="1"/>
  <c r="AD8" i="11"/>
  <c r="AD10" i="11"/>
  <c r="M49" i="11"/>
  <c r="AC7" i="11"/>
  <c r="X7" i="11"/>
  <c r="R50" i="11"/>
  <c r="S51" i="11"/>
  <c r="W7" i="11"/>
  <c r="N49" i="11"/>
  <c r="X17" i="11" s="1"/>
  <c r="S80" i="11"/>
  <c r="S24" i="11"/>
  <c r="S41" i="11"/>
  <c r="AE12" i="11"/>
  <c r="AB7" i="11"/>
  <c r="P24" i="11"/>
  <c r="S53" i="11"/>
  <c r="Q76" i="11"/>
  <c r="R77" i="11"/>
  <c r="R78" i="11"/>
  <c r="S81" i="11"/>
  <c r="S83" i="11"/>
  <c r="S84" i="11"/>
  <c r="S85" i="11"/>
  <c r="S86" i="11"/>
  <c r="S87" i="11"/>
  <c r="Y20" i="11"/>
  <c r="P58" i="11"/>
  <c r="AB11" i="11"/>
  <c r="Q74" i="11"/>
  <c r="AC8" i="11"/>
  <c r="AB9" i="11"/>
  <c r="R52" i="11"/>
  <c r="R60" i="11"/>
  <c r="P54" i="11"/>
  <c r="J49" i="11"/>
  <c r="AD9" i="11" s="1"/>
  <c r="AD7" i="11"/>
  <c r="Q58" i="11"/>
  <c r="R28" i="11"/>
  <c r="Q47" i="11"/>
  <c r="S45" i="11"/>
  <c r="S59" i="11"/>
  <c r="S57" i="11"/>
  <c r="G62" i="11"/>
  <c r="AE10" i="11" s="1"/>
  <c r="J88" i="11"/>
  <c r="AD12" i="11" s="1"/>
  <c r="V78" i="11"/>
  <c r="Q32" i="11"/>
  <c r="S63" i="11"/>
  <c r="AE7" i="11"/>
  <c r="AB12" i="11"/>
  <c r="Q41" i="11"/>
  <c r="H36" i="11"/>
  <c r="AB8" i="11" s="1"/>
  <c r="R54" i="11"/>
  <c r="I49" i="11"/>
  <c r="R62" i="11" s="1"/>
  <c r="AC18" i="11" s="1"/>
  <c r="R80" i="11"/>
  <c r="I88" i="11"/>
  <c r="AC12" i="11" s="1"/>
  <c r="P36" i="11"/>
  <c r="AE16" i="11" s="1"/>
  <c r="S37" i="11"/>
  <c r="S47" i="11"/>
  <c r="P57" i="11"/>
  <c r="AE8" i="11"/>
  <c r="Q54" i="11"/>
  <c r="H62" i="11"/>
  <c r="Q75" i="11" s="1"/>
  <c r="AB19" i="11" s="1"/>
  <c r="R61" i="11"/>
  <c r="AE11" i="11"/>
  <c r="AE9" i="11"/>
  <c r="V7" i="11"/>
  <c r="R24" i="11"/>
  <c r="R26" i="11"/>
  <c r="S48" i="11"/>
  <c r="P50" i="11"/>
  <c r="Q52" i="11"/>
  <c r="P61" i="11"/>
  <c r="M62" i="11"/>
  <c r="W18" i="11" s="1"/>
  <c r="S65" i="11"/>
  <c r="R66" i="11"/>
  <c r="S77" i="11"/>
  <c r="P81" i="11"/>
  <c r="P83" i="11"/>
  <c r="P84" i="11"/>
  <c r="P85" i="11"/>
  <c r="W8" i="11"/>
  <c r="N36" i="11"/>
  <c r="X16" i="11" s="1"/>
  <c r="R29" i="11"/>
  <c r="Q30" i="11"/>
  <c r="R47" i="11"/>
  <c r="S35" i="11"/>
  <c r="S39" i="11"/>
  <c r="Q48" i="11"/>
  <c r="O49" i="11"/>
  <c r="Y17" i="11" s="1"/>
  <c r="Q50" i="11"/>
  <c r="R65" i="11"/>
  <c r="P53" i="11"/>
  <c r="R68" i="11"/>
  <c r="P65" i="11"/>
  <c r="AC11" i="11"/>
  <c r="AC10" i="11"/>
  <c r="P88" i="11"/>
  <c r="AE20" i="11" s="1"/>
  <c r="S31" i="11"/>
  <c r="S44" i="11"/>
  <c r="V9" i="11"/>
  <c r="R27" i="11"/>
  <c r="S29" i="11"/>
  <c r="S42" i="11"/>
  <c r="R56" i="11"/>
  <c r="L49" i="11"/>
  <c r="V17" i="11" s="1"/>
  <c r="Q64" i="11"/>
  <c r="V12" i="11"/>
  <c r="V8" i="11"/>
  <c r="Y7" i="11"/>
  <c r="Y8" i="11"/>
  <c r="Y9" i="11"/>
  <c r="Y10" i="11"/>
  <c r="Y11" i="11"/>
  <c r="Y12" i="11"/>
  <c r="W17" i="11"/>
  <c r="R25" i="11"/>
  <c r="Q26" i="11"/>
  <c r="S27" i="11"/>
  <c r="S40" i="11"/>
  <c r="Q51" i="11"/>
  <c r="S52" i="11"/>
  <c r="Q55" i="11"/>
  <c r="Q59" i="11"/>
  <c r="R64" i="11"/>
  <c r="V11" i="11"/>
  <c r="S25" i="11"/>
  <c r="S38" i="11"/>
  <c r="R30" i="11"/>
  <c r="R31" i="11"/>
  <c r="S33" i="11"/>
  <c r="S46" i="11"/>
  <c r="L36" i="11"/>
  <c r="V16" i="11" s="1"/>
  <c r="Q67" i="11"/>
  <c r="Q71" i="11"/>
  <c r="R79" i="11"/>
  <c r="V10" i="11"/>
  <c r="P86" i="11"/>
  <c r="P87" i="11"/>
  <c r="L88" i="11"/>
  <c r="V20" i="11" s="1"/>
  <c r="S60" i="11"/>
  <c r="Q61" i="11"/>
  <c r="S66" i="11"/>
  <c r="N75" i="11"/>
  <c r="X19" i="11" s="1"/>
  <c r="Q24" i="11"/>
  <c r="P25" i="11"/>
  <c r="R39" i="11"/>
  <c r="P27" i="11"/>
  <c r="R41" i="11"/>
  <c r="P29" i="11"/>
  <c r="P31" i="11"/>
  <c r="R45" i="11"/>
  <c r="P33" i="11"/>
  <c r="P37" i="11"/>
  <c r="P39" i="11"/>
  <c r="P41" i="11"/>
  <c r="P45" i="11"/>
  <c r="R63" i="11"/>
  <c r="P52" i="11"/>
  <c r="Q53" i="11"/>
  <c r="Q56" i="11"/>
  <c r="Q57" i="11"/>
  <c r="P60" i="11"/>
  <c r="O62" i="11"/>
  <c r="Y18" i="11" s="1"/>
  <c r="P63" i="11"/>
  <c r="S64" i="11"/>
  <c r="Q65" i="11"/>
  <c r="P66" i="11"/>
  <c r="S68" i="11"/>
  <c r="S70" i="11"/>
  <c r="S71" i="11"/>
  <c r="S72" i="11"/>
  <c r="S73" i="11"/>
  <c r="S76" i="11"/>
  <c r="P77" i="11"/>
  <c r="P78" i="11"/>
  <c r="P79" i="11"/>
  <c r="P80" i="11"/>
  <c r="Q81" i="11"/>
  <c r="Q88" i="11"/>
  <c r="AB20" i="11" s="1"/>
  <c r="Q83" i="11"/>
  <c r="Q84" i="11"/>
  <c r="Q85" i="11"/>
  <c r="Q86" i="11"/>
  <c r="Q87" i="11"/>
  <c r="M88" i="11"/>
  <c r="W20" i="11" s="1"/>
  <c r="X12" i="11"/>
  <c r="X11" i="11"/>
  <c r="X10" i="11"/>
  <c r="X9" i="11"/>
  <c r="X8" i="11"/>
  <c r="R76" i="11"/>
  <c r="S78" i="11"/>
  <c r="S79" i="11"/>
  <c r="AL12" i="11"/>
  <c r="AL13" i="11" s="1"/>
  <c r="AL14" i="11" s="1"/>
  <c r="AL15" i="11" s="1"/>
  <c r="AL16" i="11" s="1"/>
  <c r="AL17" i="11" s="1"/>
  <c r="AL18" i="11" s="1"/>
  <c r="AL19" i="11" s="1"/>
  <c r="AL20" i="11" s="1"/>
  <c r="AL21" i="11" s="1"/>
  <c r="AL22" i="11" s="1"/>
  <c r="AL23" i="11" s="1"/>
  <c r="AL24" i="11" s="1"/>
  <c r="AL25" i="11" s="1"/>
  <c r="AL26" i="11" s="1"/>
  <c r="AL27" i="11" s="1"/>
  <c r="AL28" i="11" s="1"/>
  <c r="AL29" i="11" s="1"/>
  <c r="AL30" i="11" s="1"/>
  <c r="AL31" i="11" s="1"/>
  <c r="AL32" i="11" s="1"/>
  <c r="AL33" i="11" s="1"/>
  <c r="AL34" i="11" s="1"/>
  <c r="AL35" i="11" s="1"/>
  <c r="AL36" i="11" s="1"/>
  <c r="AL37" i="11" s="1"/>
  <c r="AL38" i="11" s="1"/>
  <c r="AL39" i="11" s="1"/>
  <c r="AL40" i="11" s="1"/>
  <c r="AL41" i="11" s="1"/>
  <c r="AL42" i="11" s="1"/>
  <c r="AL43" i="11" s="1"/>
  <c r="AL44" i="11" s="1"/>
  <c r="AL45" i="11" s="1"/>
  <c r="AL46" i="11" s="1"/>
  <c r="AL47" i="11" s="1"/>
  <c r="AL48" i="11" s="1"/>
  <c r="AL49" i="11" s="1"/>
  <c r="AL50" i="11" s="1"/>
  <c r="AL51" i="11" s="1"/>
  <c r="AL52" i="11" s="1"/>
  <c r="AL53" i="11" s="1"/>
  <c r="AL54" i="11" s="1"/>
  <c r="AL55" i="11" s="1"/>
  <c r="AL56" i="11" s="1"/>
  <c r="AL57" i="11" s="1"/>
  <c r="AL58" i="11" s="1"/>
  <c r="AL59" i="11" s="1"/>
  <c r="AL60" i="11" s="1"/>
  <c r="AL61" i="11" s="1"/>
  <c r="AL62" i="11" s="1"/>
  <c r="AL63" i="11" s="1"/>
  <c r="AL64" i="11" s="1"/>
  <c r="AL65" i="11" s="1"/>
  <c r="AL66" i="11" s="1"/>
  <c r="AL67" i="11" s="1"/>
  <c r="AL68" i="11" s="1"/>
  <c r="AL69" i="11" s="1"/>
  <c r="AL70" i="11" s="1"/>
  <c r="AL71" i="11" s="1"/>
  <c r="AL72" i="11" s="1"/>
  <c r="AL73" i="11" s="1"/>
  <c r="R37" i="11"/>
  <c r="Q25" i="11"/>
  <c r="Q27" i="11"/>
  <c r="Q29" i="11"/>
  <c r="Q31" i="11"/>
  <c r="Q33" i="11"/>
  <c r="O36" i="11"/>
  <c r="Y16" i="11" s="1"/>
  <c r="P48" i="11"/>
  <c r="N62" i="11"/>
  <c r="X18" i="11" s="1"/>
  <c r="S50" i="11"/>
  <c r="P51" i="11"/>
  <c r="S54" i="11"/>
  <c r="P55" i="11"/>
  <c r="R70" i="11"/>
  <c r="S58" i="11"/>
  <c r="P59" i="11"/>
  <c r="S61" i="11"/>
  <c r="L62" i="11"/>
  <c r="V18" i="11" s="1"/>
  <c r="Q63" i="11"/>
  <c r="P64" i="11"/>
  <c r="Q66" i="11"/>
  <c r="P67" i="11"/>
  <c r="P68" i="11"/>
  <c r="P70" i="11"/>
  <c r="P71" i="11"/>
  <c r="P72" i="11"/>
  <c r="P73" i="11"/>
  <c r="P74" i="11"/>
  <c r="L75" i="11"/>
  <c r="AP70" i="11" s="1"/>
  <c r="P76" i="11"/>
  <c r="Q77" i="11"/>
  <c r="Q78" i="11"/>
  <c r="Q79" i="11"/>
  <c r="Q80" i="11"/>
  <c r="R81" i="11"/>
  <c r="R83" i="11"/>
  <c r="R84" i="11"/>
  <c r="R85" i="11"/>
  <c r="R86" i="11"/>
  <c r="R87" i="11"/>
  <c r="N88" i="11"/>
  <c r="X20" i="11" s="1"/>
  <c r="W12" i="11"/>
  <c r="W11" i="11"/>
  <c r="W10" i="11"/>
  <c r="W9" i="11"/>
  <c r="P49" i="11"/>
  <c r="AE17" i="11" s="1"/>
  <c r="P82" i="11"/>
  <c r="Q82" i="11"/>
  <c r="R82" i="11"/>
  <c r="S82" i="11"/>
  <c r="R72" i="11"/>
  <c r="R73" i="11"/>
  <c r="Q73" i="11"/>
  <c r="M75" i="11"/>
  <c r="AQ70" i="11" s="1"/>
  <c r="Q43" i="11"/>
  <c r="R43" i="11"/>
  <c r="R33" i="11"/>
  <c r="S34" i="11"/>
  <c r="Q37" i="11"/>
  <c r="R51" i="11"/>
  <c r="R38" i="11"/>
  <c r="Q40" i="11"/>
  <c r="Q45" i="11"/>
  <c r="R59" i="11"/>
  <c r="R46" i="11"/>
  <c r="R57" i="11"/>
  <c r="R44" i="11"/>
  <c r="Q46" i="11"/>
  <c r="S26" i="11"/>
  <c r="S28" i="11"/>
  <c r="S32" i="11"/>
  <c r="P34" i="11"/>
  <c r="Q34" i="11"/>
  <c r="Q35" i="11"/>
  <c r="S36" i="11"/>
  <c r="AD16" i="11" s="1"/>
  <c r="Q39" i="11"/>
  <c r="R53" i="11"/>
  <c r="R40" i="11"/>
  <c r="Q42" i="11"/>
  <c r="Q38" i="11"/>
  <c r="P26" i="11"/>
  <c r="P28" i="11"/>
  <c r="Q28" i="11"/>
  <c r="P32" i="11"/>
  <c r="R48" i="11"/>
  <c r="R35" i="11"/>
  <c r="R55" i="11"/>
  <c r="R42" i="11"/>
  <c r="Q44" i="11"/>
  <c r="R34" i="11"/>
  <c r="P30" i="11"/>
  <c r="M36" i="11"/>
  <c r="W16" i="11" s="1"/>
  <c r="Q68" i="11"/>
  <c r="P69" i="11"/>
  <c r="P47" i="11"/>
  <c r="Q60" i="11"/>
  <c r="R67" i="11"/>
  <c r="S67" i="11"/>
  <c r="Q69" i="11"/>
  <c r="Q70" i="11"/>
  <c r="O75" i="11"/>
  <c r="Y19" i="11" s="1"/>
  <c r="R69" i="11"/>
  <c r="S69" i="11"/>
  <c r="Q72" i="11"/>
  <c r="R74" i="11"/>
  <c r="S30" i="11"/>
  <c r="P35" i="11"/>
  <c r="P38" i="11"/>
  <c r="P40" i="11"/>
  <c r="P42" i="11"/>
  <c r="S43" i="11"/>
  <c r="P44" i="11"/>
  <c r="P46" i="11"/>
  <c r="S56" i="11"/>
  <c r="S75" i="11"/>
  <c r="AD19" i="11" s="1"/>
  <c r="R71" i="11"/>
  <c r="S74" i="11"/>
  <c r="P43" i="11"/>
  <c r="P56" i="11"/>
  <c r="P75" i="11" l="1"/>
  <c r="AE19" i="11" s="1"/>
  <c r="P62" i="11"/>
  <c r="AE18" i="11" s="1"/>
  <c r="S62" i="11"/>
  <c r="AD18" i="11" s="1"/>
  <c r="R88" i="11"/>
  <c r="AC20" i="11" s="1"/>
  <c r="S49" i="11"/>
  <c r="AD17" i="11" s="1"/>
  <c r="S88" i="11"/>
  <c r="AD20" i="11" s="1"/>
  <c r="Q62" i="11"/>
  <c r="AB18" i="11" s="1"/>
  <c r="AC9" i="11"/>
  <c r="AB10" i="11"/>
  <c r="V19" i="11"/>
  <c r="W19" i="11"/>
  <c r="R75" i="11"/>
  <c r="AC19" i="11" s="1"/>
  <c r="Q36" i="11"/>
  <c r="AB16" i="11" s="1"/>
  <c r="R49" i="11"/>
  <c r="AC17" i="11" s="1"/>
  <c r="R36" i="11"/>
  <c r="AC16" i="11" s="1"/>
  <c r="Q49" i="11"/>
  <c r="AB17" i="11" s="1"/>
  <c r="S122" i="10" l="1"/>
  <c r="X116" i="10"/>
  <c r="W117" i="10"/>
  <c r="U204" i="10"/>
  <c r="T204" i="10"/>
  <c r="T203" i="10"/>
  <c r="S211" i="10"/>
  <c r="S213" i="10" s="1"/>
  <c r="P211" i="10"/>
  <c r="T202" i="10"/>
  <c r="U200" i="10"/>
  <c r="S198" i="10"/>
  <c r="U199" i="10" s="1"/>
  <c r="O202" i="10"/>
  <c r="M189" i="10"/>
  <c r="R67" i="10" s="1"/>
  <c r="K189" i="10"/>
  <c r="J189" i="10"/>
  <c r="I189" i="10"/>
  <c r="E189" i="10"/>
  <c r="D189" i="10"/>
  <c r="C189" i="10"/>
  <c r="F189" i="10" s="1"/>
  <c r="S176" i="10"/>
  <c r="R176" i="10"/>
  <c r="Q176" i="10"/>
  <c r="O176" i="10"/>
  <c r="C176" i="10"/>
  <c r="O175" i="10"/>
  <c r="U117" i="10"/>
  <c r="W116" i="10"/>
  <c r="U116" i="10"/>
  <c r="W115" i="10"/>
  <c r="U115" i="10"/>
  <c r="W114" i="10"/>
  <c r="U114" i="10"/>
  <c r="W113" i="10"/>
  <c r="U113" i="10"/>
  <c r="W112" i="10"/>
  <c r="U112" i="10"/>
  <c r="W111" i="10"/>
  <c r="U111" i="10"/>
  <c r="W110" i="10"/>
  <c r="U110" i="10"/>
  <c r="W109" i="10"/>
  <c r="U109" i="10"/>
  <c r="W108" i="10"/>
  <c r="U108" i="10"/>
  <c r="W107" i="10"/>
  <c r="U107" i="10"/>
  <c r="W106" i="10"/>
  <c r="U106" i="10"/>
  <c r="W105" i="10"/>
  <c r="U105" i="10"/>
  <c r="W104" i="10"/>
  <c r="U104" i="10"/>
  <c r="V76" i="10"/>
  <c r="V75" i="10"/>
  <c r="S73" i="10"/>
  <c r="S74" i="10" s="1"/>
  <c r="R68" i="10"/>
  <c r="R66" i="10"/>
  <c r="AA65" i="10"/>
  <c r="Z65" i="10"/>
  <c r="R65" i="10"/>
  <c r="AB64" i="10"/>
  <c r="R64" i="10"/>
  <c r="AB63" i="10"/>
  <c r="R63" i="10"/>
  <c r="AB62" i="10"/>
  <c r="R62" i="10"/>
  <c r="S62" i="10" s="1"/>
  <c r="T62" i="10" s="1"/>
  <c r="BS50" i="10"/>
  <c r="Y32" i="10"/>
  <c r="X32" i="10"/>
  <c r="AN32" i="10" s="1"/>
  <c r="W32" i="10"/>
  <c r="Y31" i="10"/>
  <c r="X31" i="10"/>
  <c r="W31" i="10"/>
  <c r="Y30" i="10"/>
  <c r="X30" i="10"/>
  <c r="AN30" i="10" s="1"/>
  <c r="W30" i="10"/>
  <c r="Y29" i="10"/>
  <c r="X29" i="10"/>
  <c r="W29" i="10"/>
  <c r="Y28" i="10"/>
  <c r="X28" i="10"/>
  <c r="AA28" i="10" s="1"/>
  <c r="W28" i="10"/>
  <c r="Y27" i="10"/>
  <c r="X27" i="10"/>
  <c r="AN27" i="10" s="1"/>
  <c r="W27" i="10"/>
  <c r="AD21" i="10"/>
  <c r="BH25" i="10"/>
  <c r="BG25" i="10"/>
  <c r="BA25" i="10"/>
  <c r="AN25" i="10"/>
  <c r="AG25" i="10"/>
  <c r="AE25" i="10"/>
  <c r="BH24" i="10"/>
  <c r="BG24" i="10"/>
  <c r="BA24" i="10"/>
  <c r="BC24" i="10" s="1"/>
  <c r="BE24" i="10" s="1"/>
  <c r="AN24" i="10"/>
  <c r="AG24" i="10"/>
  <c r="AE24" i="10"/>
  <c r="AD24" i="10"/>
  <c r="BH23" i="10"/>
  <c r="BG23" i="10"/>
  <c r="BA23" i="10"/>
  <c r="BC23" i="10" s="1"/>
  <c r="BE23" i="10" s="1"/>
  <c r="AU23" i="10"/>
  <c r="AN23" i="10"/>
  <c r="AG23" i="10"/>
  <c r="AE23" i="10"/>
  <c r="AD23" i="10"/>
  <c r="BH22" i="10"/>
  <c r="BG22" i="10"/>
  <c r="BA22" i="10"/>
  <c r="BC22" i="10" s="1"/>
  <c r="BE22" i="10" s="1"/>
  <c r="AN22" i="10"/>
  <c r="AE22" i="10"/>
  <c r="BH21" i="10"/>
  <c r="BG21" i="10"/>
  <c r="BA21" i="10"/>
  <c r="BC21" i="10" s="1"/>
  <c r="BE21" i="10" s="1"/>
  <c r="AN21" i="10"/>
  <c r="AE21" i="10"/>
  <c r="BH20" i="10"/>
  <c r="BG20" i="10"/>
  <c r="BA20" i="10"/>
  <c r="AU20" i="10"/>
  <c r="BH19" i="10"/>
  <c r="BG19" i="10"/>
  <c r="BA19" i="10"/>
  <c r="BC19" i="10" s="1"/>
  <c r="BE19" i="10" s="1"/>
  <c r="BH18" i="10"/>
  <c r="BG18" i="10"/>
  <c r="BA18" i="10"/>
  <c r="AN18" i="10"/>
  <c r="AE18" i="10"/>
  <c r="AD18" i="10"/>
  <c r="AG18" i="10" s="1"/>
  <c r="BH17" i="10"/>
  <c r="BG17" i="10"/>
  <c r="BA17" i="10"/>
  <c r="BC17" i="10" s="1"/>
  <c r="BE17" i="10" s="1"/>
  <c r="AN17" i="10"/>
  <c r="AE17" i="10"/>
  <c r="AD17" i="10"/>
  <c r="BH16" i="10"/>
  <c r="BG16" i="10"/>
  <c r="BA16" i="10"/>
  <c r="BC16" i="10" s="1"/>
  <c r="BE16" i="10" s="1"/>
  <c r="AN16" i="10"/>
  <c r="AE16" i="10"/>
  <c r="AD16" i="10"/>
  <c r="AG16" i="10" s="1"/>
  <c r="BH15" i="10"/>
  <c r="BG15" i="10"/>
  <c r="BA15" i="10"/>
  <c r="AN15" i="10"/>
  <c r="AE15" i="10"/>
  <c r="AD15" i="10"/>
  <c r="AG15" i="10" s="1"/>
  <c r="BH14" i="10"/>
  <c r="BG14" i="10"/>
  <c r="BA14" i="10"/>
  <c r="BC14" i="10" s="1"/>
  <c r="BE14" i="10" s="1"/>
  <c r="AN14" i="10"/>
  <c r="AE14" i="10"/>
  <c r="AD14" i="10"/>
  <c r="AG14" i="10" s="1"/>
  <c r="BH13" i="10"/>
  <c r="BG13" i="10"/>
  <c r="BA13" i="10"/>
  <c r="BC13" i="10" s="1"/>
  <c r="BE13" i="10" s="1"/>
  <c r="AN13" i="10"/>
  <c r="AE13" i="10"/>
  <c r="AD13" i="10"/>
  <c r="BH12" i="10"/>
  <c r="BG12" i="10"/>
  <c r="BA12" i="10"/>
  <c r="BC12" i="10" s="1"/>
  <c r="BE12" i="10" s="1"/>
  <c r="AJ6" i="10"/>
  <c r="BH11" i="10"/>
  <c r="BG11" i="10"/>
  <c r="BA11" i="10"/>
  <c r="BC11" i="10" s="1"/>
  <c r="BE11" i="10" s="1"/>
  <c r="AN11" i="10"/>
  <c r="AE11" i="10"/>
  <c r="AD11" i="10"/>
  <c r="AG11" i="10" s="1"/>
  <c r="BH10" i="10"/>
  <c r="BG10" i="10"/>
  <c r="BA10" i="10"/>
  <c r="BC10" i="10" s="1"/>
  <c r="BE10" i="10" s="1"/>
  <c r="AN10" i="10"/>
  <c r="AG10" i="10"/>
  <c r="AE10" i="10"/>
  <c r="AD10" i="10"/>
  <c r="BH9" i="10"/>
  <c r="BG9" i="10"/>
  <c r="BA9" i="10"/>
  <c r="BC9" i="10" s="1"/>
  <c r="BE9" i="10" s="1"/>
  <c r="AN9" i="10"/>
  <c r="AE9" i="10"/>
  <c r="AD9" i="10"/>
  <c r="BH8" i="10"/>
  <c r="BG8" i="10"/>
  <c r="BA8" i="10"/>
  <c r="AN8" i="10"/>
  <c r="AE8" i="10"/>
  <c r="AD8" i="10"/>
  <c r="AG8" i="10" s="1"/>
  <c r="AN7" i="10"/>
  <c r="AE7" i="10"/>
  <c r="AD7" i="10"/>
  <c r="AG7" i="10" s="1"/>
  <c r="F5" i="10"/>
  <c r="F28" i="9"/>
  <c r="H28" i="9" s="1"/>
  <c r="F29" i="9"/>
  <c r="H29" i="9" s="1"/>
  <c r="F30" i="9"/>
  <c r="H30" i="9" s="1"/>
  <c r="J28" i="9"/>
  <c r="E26" i="3" s="1"/>
  <c r="J29" i="9"/>
  <c r="D26" i="3" s="1"/>
  <c r="J30" i="9"/>
  <c r="D25" i="3"/>
  <c r="E25" i="3"/>
  <c r="G25" i="3"/>
  <c r="H25" i="3"/>
  <c r="F25" i="3"/>
  <c r="D24" i="3"/>
  <c r="E24" i="3"/>
  <c r="G24" i="3"/>
  <c r="H24" i="3"/>
  <c r="F24" i="3"/>
  <c r="J27" i="9"/>
  <c r="F26" i="3" s="1"/>
  <c r="J25" i="9"/>
  <c r="H26" i="3" s="1"/>
  <c r="F26" i="9"/>
  <c r="H26" i="9" s="1"/>
  <c r="F27" i="9"/>
  <c r="F25" i="9"/>
  <c r="H25" i="9" s="1"/>
  <c r="J26" i="9"/>
  <c r="G26" i="3" s="1"/>
  <c r="F9" i="9"/>
  <c r="G9" i="9" s="1"/>
  <c r="I9" i="9" s="1"/>
  <c r="J9" i="9" s="1"/>
  <c r="D15" i="9"/>
  <c r="E15" i="9"/>
  <c r="D16" i="9"/>
  <c r="E16" i="9"/>
  <c r="D17" i="9"/>
  <c r="E17" i="9"/>
  <c r="S15" i="9"/>
  <c r="S16" i="9" s="1"/>
  <c r="R15" i="9"/>
  <c r="R16" i="9" s="1"/>
  <c r="Q15" i="9"/>
  <c r="Q16" i="9" s="1"/>
  <c r="S6" i="9"/>
  <c r="R6" i="9"/>
  <c r="Q6" i="9"/>
  <c r="F17" i="9" s="1"/>
  <c r="H104" i="3" l="1"/>
  <c r="B14" i="2"/>
  <c r="AG26" i="10"/>
  <c r="AI20" i="10" s="1"/>
  <c r="J104" i="3"/>
  <c r="F104" i="3"/>
  <c r="D104" i="3"/>
  <c r="E104" i="3"/>
  <c r="G112" i="3"/>
  <c r="G104" i="3"/>
  <c r="AA27" i="10"/>
  <c r="Q19" i="9"/>
  <c r="R19" i="9"/>
  <c r="S75" i="10"/>
  <c r="U77" i="10" s="1"/>
  <c r="AO26" i="10"/>
  <c r="AQ6" i="10" s="1"/>
  <c r="AW8" i="10" s="1"/>
  <c r="Q7" i="9"/>
  <c r="Q8" i="9" s="1"/>
  <c r="G17" i="9" s="1"/>
  <c r="H167" i="3"/>
  <c r="P212" i="10"/>
  <c r="AD22" i="10"/>
  <c r="AD25" i="10"/>
  <c r="U62" i="10"/>
  <c r="V62" i="10" s="1"/>
  <c r="W62" i="10" s="1"/>
  <c r="S63" i="10"/>
  <c r="S64" i="10" s="1"/>
  <c r="S65" i="10" s="1"/>
  <c r="S66" i="10" s="1"/>
  <c r="T66" i="10" s="1"/>
  <c r="AA30" i="10"/>
  <c r="AA32" i="10"/>
  <c r="AB65" i="10"/>
  <c r="BC25" i="10"/>
  <c r="BE25" i="10" s="1"/>
  <c r="BC8" i="10"/>
  <c r="BE8" i="10" s="1"/>
  <c r="AO12" i="10"/>
  <c r="AO6" i="10" s="1"/>
  <c r="BC15" i="10"/>
  <c r="BE15" i="10" s="1"/>
  <c r="BC18" i="10"/>
  <c r="BE18" i="10" s="1"/>
  <c r="AO19" i="10"/>
  <c r="AO14" i="10" s="1"/>
  <c r="AI24" i="10"/>
  <c r="AG13" i="10"/>
  <c r="AG17" i="10"/>
  <c r="AN29" i="10"/>
  <c r="AA29" i="10"/>
  <c r="AN31" i="10"/>
  <c r="AA31" i="10"/>
  <c r="Z69" i="10"/>
  <c r="AB67" i="10"/>
  <c r="Z68" i="10"/>
  <c r="AG9" i="10"/>
  <c r="BC20" i="10"/>
  <c r="BE20" i="10" s="1"/>
  <c r="AA68" i="10"/>
  <c r="AA69" i="10"/>
  <c r="F16" i="9"/>
  <c r="S19" i="9"/>
  <c r="S7" i="9"/>
  <c r="R7" i="9"/>
  <c r="R20" i="9" s="1"/>
  <c r="AQ16" i="10" l="1"/>
  <c r="AW15" i="10" s="1"/>
  <c r="Q20" i="9"/>
  <c r="G167" i="3"/>
  <c r="D112" i="3"/>
  <c r="D167" i="3"/>
  <c r="E112" i="3"/>
  <c r="E167" i="3"/>
  <c r="F112" i="3"/>
  <c r="F167" i="3"/>
  <c r="J109" i="3"/>
  <c r="J167" i="3" s="1"/>
  <c r="T64" i="10"/>
  <c r="U64" i="10"/>
  <c r="V64" i="10" s="1"/>
  <c r="W64" i="10" s="1"/>
  <c r="T63" i="10"/>
  <c r="S76" i="10"/>
  <c r="S77" i="10" s="1"/>
  <c r="S78" i="10" s="1"/>
  <c r="U63" i="10"/>
  <c r="V63" i="10" s="1"/>
  <c r="W63" i="10" s="1"/>
  <c r="AA67" i="10"/>
  <c r="Z67" i="10"/>
  <c r="I17" i="9"/>
  <c r="F20" i="3"/>
  <c r="AO10" i="10"/>
  <c r="AB68" i="10"/>
  <c r="S20" i="9"/>
  <c r="AO9" i="10"/>
  <c r="AQ27" i="10"/>
  <c r="AW10" i="10" s="1"/>
  <c r="AI23" i="10"/>
  <c r="AQ21" i="10"/>
  <c r="AB69" i="10"/>
  <c r="AQ19" i="10"/>
  <c r="AQ24" i="10"/>
  <c r="AO23" i="10"/>
  <c r="AQ20" i="10"/>
  <c r="AQ28" i="10"/>
  <c r="AW13" i="10" s="1"/>
  <c r="AQ12" i="10"/>
  <c r="AO28" i="10"/>
  <c r="AQ26" i="10"/>
  <c r="AQ23" i="10"/>
  <c r="AQ17" i="10"/>
  <c r="AW21" i="10" s="1"/>
  <c r="AQ11" i="10"/>
  <c r="AQ8" i="10"/>
  <c r="AQ18" i="10"/>
  <c r="AW24" i="10" s="1"/>
  <c r="AQ15" i="10"/>
  <c r="AW18" i="10" s="1"/>
  <c r="AQ7" i="10"/>
  <c r="AO21" i="10"/>
  <c r="AQ31" i="10"/>
  <c r="AW22" i="10" s="1"/>
  <c r="AI25" i="10"/>
  <c r="AI21" i="10"/>
  <c r="AI22" i="10"/>
  <c r="AQ13" i="10"/>
  <c r="AW9" i="10" s="1"/>
  <c r="AO22" i="10"/>
  <c r="AQ9" i="10"/>
  <c r="AW14" i="10" s="1"/>
  <c r="AO20" i="10"/>
  <c r="AO27" i="10"/>
  <c r="AO24" i="10"/>
  <c r="AQ25" i="10"/>
  <c r="AO18" i="10"/>
  <c r="AO15" i="10"/>
  <c r="AO13" i="10"/>
  <c r="AQ14" i="10"/>
  <c r="AW12" i="10" s="1"/>
  <c r="AO11" i="10"/>
  <c r="AO8" i="10"/>
  <c r="AQ22" i="10"/>
  <c r="AO7" i="10"/>
  <c r="AQ30" i="10"/>
  <c r="AW16" i="10" s="1"/>
  <c r="AO25" i="10"/>
  <c r="AQ29" i="10"/>
  <c r="AW19" i="10" s="1"/>
  <c r="AO16" i="10"/>
  <c r="AQ10" i="10"/>
  <c r="AQ32" i="10"/>
  <c r="AW25" i="10" s="1"/>
  <c r="AO17" i="10"/>
  <c r="U65" i="10"/>
  <c r="V65" i="10" s="1"/>
  <c r="W65" i="10" s="1"/>
  <c r="T65" i="10"/>
  <c r="S8" i="9"/>
  <c r="G15" i="9" s="1"/>
  <c r="R8" i="9"/>
  <c r="G16" i="9" s="1"/>
  <c r="G20" i="3" s="1"/>
  <c r="J112" i="3" l="1"/>
  <c r="I16" i="9"/>
  <c r="H20" i="3"/>
  <c r="AQ34" i="10"/>
  <c r="AS34" i="10"/>
  <c r="AW23" i="10"/>
  <c r="AW20" i="10"/>
  <c r="AW11" i="10"/>
  <c r="AW17" i="10"/>
  <c r="S67" i="10"/>
  <c r="U66" i="10"/>
  <c r="V66" i="10" s="1"/>
  <c r="W66" i="10" s="1"/>
  <c r="S68" i="10" l="1"/>
  <c r="R70" i="10" s="1"/>
  <c r="T67" i="10"/>
  <c r="U67" i="10"/>
  <c r="V67" i="10" s="1"/>
  <c r="W67" i="10" s="1"/>
  <c r="R71" i="10" l="1"/>
  <c r="T68" i="10"/>
  <c r="U68" i="10"/>
  <c r="V68" i="10" s="1"/>
  <c r="W68" i="10" s="1"/>
  <c r="AX7" i="10" s="1"/>
  <c r="AX15" i="10" l="1"/>
  <c r="AX10" i="10"/>
  <c r="AX25" i="10"/>
  <c r="AX8" i="10"/>
  <c r="BI8" i="10" s="1"/>
  <c r="AX21" i="10"/>
  <c r="AX22" i="10"/>
  <c r="AX24" i="10"/>
  <c r="AX9" i="10"/>
  <c r="AX13" i="10"/>
  <c r="AX18" i="10"/>
  <c r="AX16" i="10"/>
  <c r="AX14" i="10"/>
  <c r="AX12" i="10"/>
  <c r="AX19" i="10"/>
  <c r="AX11" i="10"/>
  <c r="AX23" i="10"/>
  <c r="AX17" i="10"/>
  <c r="AX20" i="10"/>
  <c r="G21" i="3"/>
  <c r="H21" i="3"/>
  <c r="F21" i="3"/>
  <c r="E21" i="3"/>
  <c r="D21" i="3"/>
  <c r="H22" i="3"/>
  <c r="H103" i="3" s="1"/>
  <c r="H105" i="3" l="1"/>
  <c r="J103" i="3"/>
  <c r="J105" i="3"/>
  <c r="J164" i="3" s="1"/>
  <c r="BQ20" i="10"/>
  <c r="BR20" i="10" s="1"/>
  <c r="BI20" i="10"/>
  <c r="BQ19" i="10"/>
  <c r="BR19" i="10" s="1"/>
  <c r="BI19" i="10"/>
  <c r="BQ18" i="10"/>
  <c r="BR18" i="10" s="1"/>
  <c r="BI18" i="10"/>
  <c r="BQ22" i="10"/>
  <c r="BR22" i="10" s="1"/>
  <c r="BI22" i="10"/>
  <c r="BQ10" i="10"/>
  <c r="BR10" i="10" s="1"/>
  <c r="BI10" i="10"/>
  <c r="BI17" i="10"/>
  <c r="BQ17" i="10"/>
  <c r="BR17" i="10" s="1"/>
  <c r="BI12" i="10"/>
  <c r="BQ12" i="10"/>
  <c r="BR12" i="10" s="1"/>
  <c r="BQ13" i="10"/>
  <c r="BR13" i="10" s="1"/>
  <c r="BI13" i="10"/>
  <c r="BQ21" i="10"/>
  <c r="BR21" i="10" s="1"/>
  <c r="BI21" i="10"/>
  <c r="BQ15" i="10"/>
  <c r="BR15" i="10" s="1"/>
  <c r="BI15" i="10"/>
  <c r="BJ3" i="10" s="1"/>
  <c r="BQ23" i="10"/>
  <c r="BR23" i="10" s="1"/>
  <c r="BI23" i="10"/>
  <c r="BQ14" i="10"/>
  <c r="BR14" i="10" s="1"/>
  <c r="BI14" i="10"/>
  <c r="BQ9" i="10"/>
  <c r="BR9" i="10" s="1"/>
  <c r="BI9" i="10"/>
  <c r="BQ8" i="10"/>
  <c r="BI11" i="10"/>
  <c r="BQ11" i="10"/>
  <c r="BR11" i="10" s="1"/>
  <c r="BQ16" i="10"/>
  <c r="BR16" i="10" s="1"/>
  <c r="BI16" i="10"/>
  <c r="BQ24" i="10"/>
  <c r="BR24" i="10" s="1"/>
  <c r="BI24" i="10"/>
  <c r="BQ25" i="10"/>
  <c r="BR25" i="10" s="1"/>
  <c r="BI25" i="10"/>
  <c r="H164" i="3" l="1"/>
  <c r="H129" i="3"/>
  <c r="BV11" i="10"/>
  <c r="BK3" i="10"/>
  <c r="BL3" i="10"/>
  <c r="BI3" i="10"/>
  <c r="BI27" i="10"/>
  <c r="BK8" i="10"/>
  <c r="BI4" i="10"/>
  <c r="BL8" i="10"/>
  <c r="BJ8" i="10"/>
  <c r="BQ27" i="10"/>
  <c r="BR8" i="10"/>
  <c r="BL17" i="10"/>
  <c r="BK17" i="10"/>
  <c r="BJ17" i="10"/>
  <c r="BL16" i="10"/>
  <c r="BK16" i="10"/>
  <c r="BJ16" i="10"/>
  <c r="BK15" i="10"/>
  <c r="BJ15" i="10"/>
  <c r="BL15" i="10"/>
  <c r="BL24" i="10"/>
  <c r="BK24" i="10"/>
  <c r="BJ24" i="10"/>
  <c r="BJ9" i="10"/>
  <c r="BL9" i="10"/>
  <c r="BK9" i="10"/>
  <c r="BJ4" i="10"/>
  <c r="BJ23" i="10"/>
  <c r="BL23" i="10"/>
  <c r="BK23" i="10"/>
  <c r="BJ21" i="10"/>
  <c r="BL21" i="10"/>
  <c r="BK21" i="10"/>
  <c r="BL10" i="10"/>
  <c r="BK10" i="10"/>
  <c r="BJ10" i="10"/>
  <c r="BK18" i="10"/>
  <c r="BJ18" i="10"/>
  <c r="BL18" i="10"/>
  <c r="BK20" i="10"/>
  <c r="BJ20" i="10"/>
  <c r="BL20" i="10"/>
  <c r="BJ25" i="10"/>
  <c r="BK25" i="10"/>
  <c r="BL25" i="10"/>
  <c r="BL14" i="10"/>
  <c r="BK14" i="10"/>
  <c r="BJ14" i="10"/>
  <c r="BJ13" i="10"/>
  <c r="BK13" i="10"/>
  <c r="BL13" i="10"/>
  <c r="BL22" i="10"/>
  <c r="BJ22" i="10"/>
  <c r="BK22" i="10"/>
  <c r="BJ19" i="10"/>
  <c r="BL19" i="10"/>
  <c r="BK19" i="10"/>
  <c r="BK11" i="10"/>
  <c r="BJ11" i="10"/>
  <c r="BL11" i="10"/>
  <c r="BL12" i="10"/>
  <c r="BK12" i="10"/>
  <c r="BJ12" i="10"/>
  <c r="BN12" i="10" s="1"/>
  <c r="BV12" i="10"/>
  <c r="J129" i="3" l="1"/>
  <c r="BN15" i="10"/>
  <c r="BN11" i="10"/>
  <c r="BN9" i="10"/>
  <c r="BO33" i="10" s="1"/>
  <c r="BN19" i="10"/>
  <c r="BN10" i="10"/>
  <c r="BN23" i="10"/>
  <c r="BN22" i="10"/>
  <c r="BN18" i="10"/>
  <c r="BL27" i="10"/>
  <c r="BN25" i="10"/>
  <c r="BN21" i="10"/>
  <c r="BO35" i="10" s="1"/>
  <c r="BN17" i="10"/>
  <c r="BR27" i="10"/>
  <c r="BV10" i="10"/>
  <c r="BN16" i="10"/>
  <c r="BK27" i="10"/>
  <c r="BN13" i="10"/>
  <c r="BN14" i="10"/>
  <c r="BN20" i="10"/>
  <c r="BN24" i="10"/>
  <c r="BJ27" i="10"/>
  <c r="BN8" i="10"/>
  <c r="BU14" i="10" l="1"/>
  <c r="BU15" i="10" s="1"/>
  <c r="BO32" i="10"/>
  <c r="BN27" i="10"/>
  <c r="BO11" i="10" s="1"/>
  <c r="BO37" i="10"/>
  <c r="BO24" i="10"/>
  <c r="BO16" i="10"/>
  <c r="BO15" i="10"/>
  <c r="BO18" i="10"/>
  <c r="BO36" i="10"/>
  <c r="BO34" i="10"/>
  <c r="BO19" i="10"/>
  <c r="BO22" i="10"/>
  <c r="BO14" i="10" l="1"/>
  <c r="BO25" i="10"/>
  <c r="BO8" i="10"/>
  <c r="BO20" i="10"/>
  <c r="BO23" i="10"/>
  <c r="BO17" i="10"/>
  <c r="BO9" i="10"/>
  <c r="BO13" i="10"/>
  <c r="BO21" i="10"/>
  <c r="BO10" i="10"/>
  <c r="BO12" i="10"/>
  <c r="C15" i="2"/>
  <c r="J16" i="9"/>
  <c r="G22" i="3" s="1"/>
  <c r="G103" i="3" s="1"/>
  <c r="G105" i="3" l="1"/>
  <c r="BO28" i="10"/>
  <c r="J17" i="9"/>
  <c r="F22" i="3" s="1"/>
  <c r="F103" i="3" s="1"/>
  <c r="G164" i="3" l="1"/>
  <c r="F105" i="3"/>
  <c r="G129" i="3"/>
  <c r="B12" i="2"/>
  <c r="B11" i="2" s="1"/>
  <c r="F12" i="9"/>
  <c r="G12" i="9" s="1"/>
  <c r="D20" i="3" s="1"/>
  <c r="F11" i="9"/>
  <c r="G11" i="9" s="1"/>
  <c r="E20" i="3" s="1"/>
  <c r="F10" i="9"/>
  <c r="G10" i="9" s="1"/>
  <c r="I10" i="9" s="1"/>
  <c r="J10" i="9" s="1"/>
  <c r="H4" i="3"/>
  <c r="G4" i="3"/>
  <c r="G133" i="3" s="1"/>
  <c r="F4" i="3"/>
  <c r="E4" i="3"/>
  <c r="D4" i="3"/>
  <c r="C4" i="3"/>
  <c r="F164" i="3" l="1"/>
  <c r="G159" i="3"/>
  <c r="E136" i="3"/>
  <c r="E153" i="3"/>
  <c r="E150" i="3"/>
  <c r="E142" i="3"/>
  <c r="E139" i="3"/>
  <c r="E138" i="3"/>
  <c r="E141" i="3"/>
  <c r="E149" i="3"/>
  <c r="E148" i="3"/>
  <c r="E135" i="3"/>
  <c r="E140" i="3"/>
  <c r="G136" i="3"/>
  <c r="G153" i="3"/>
  <c r="G150" i="3"/>
  <c r="G142" i="3"/>
  <c r="G139" i="3"/>
  <c r="G138" i="3"/>
  <c r="G149" i="3"/>
  <c r="G148" i="3"/>
  <c r="G141" i="3"/>
  <c r="G135" i="3"/>
  <c r="G140" i="3"/>
  <c r="G134" i="3"/>
  <c r="C135" i="3"/>
  <c r="C134" i="3"/>
  <c r="D136" i="3"/>
  <c r="D153" i="3"/>
  <c r="D150" i="3"/>
  <c r="D142" i="3"/>
  <c r="D139" i="3"/>
  <c r="D138" i="3"/>
  <c r="D149" i="3"/>
  <c r="D148" i="3"/>
  <c r="D141" i="3"/>
  <c r="D135" i="3"/>
  <c r="D140" i="3"/>
  <c r="F136" i="3"/>
  <c r="F153" i="3"/>
  <c r="F150" i="3"/>
  <c r="F142" i="3"/>
  <c r="F139" i="3"/>
  <c r="F138" i="3"/>
  <c r="F149" i="3"/>
  <c r="F148" i="3"/>
  <c r="F141" i="3"/>
  <c r="F135" i="3"/>
  <c r="F140" i="3"/>
  <c r="F134" i="3"/>
  <c r="H136" i="3"/>
  <c r="J136" i="3" s="1"/>
  <c r="H153" i="3"/>
  <c r="J153" i="3" s="1"/>
  <c r="H150" i="3"/>
  <c r="J150" i="3" s="1"/>
  <c r="H142" i="3"/>
  <c r="J142" i="3" s="1"/>
  <c r="H139" i="3"/>
  <c r="J139" i="3" s="1"/>
  <c r="H138" i="3"/>
  <c r="J138" i="3" s="1"/>
  <c r="H141" i="3"/>
  <c r="J141" i="3" s="1"/>
  <c r="H149" i="3"/>
  <c r="J149" i="3" s="1"/>
  <c r="H148" i="3"/>
  <c r="J148" i="3" s="1"/>
  <c r="H135" i="3"/>
  <c r="J135" i="3" s="1"/>
  <c r="H140" i="3"/>
  <c r="J140" i="3" s="1"/>
  <c r="H134" i="3"/>
  <c r="J134" i="3" s="1"/>
  <c r="H133" i="3"/>
  <c r="J133" i="3" s="1"/>
  <c r="H159" i="3"/>
  <c r="J159" i="3" s="1"/>
  <c r="D34" i="2" s="1"/>
  <c r="F133" i="3"/>
  <c r="F129" i="3"/>
  <c r="H5" i="3"/>
  <c r="H8" i="3" s="1"/>
  <c r="H13" i="17"/>
  <c r="H9" i="3"/>
  <c r="C9" i="3"/>
  <c r="C13" i="17"/>
  <c r="D9" i="3"/>
  <c r="D13" i="17"/>
  <c r="E5" i="3"/>
  <c r="E6" i="3" s="1"/>
  <c r="E44" i="3" s="1"/>
  <c r="E114" i="3" s="1"/>
  <c r="E145" i="3" s="1"/>
  <c r="E13" i="17"/>
  <c r="F5" i="3"/>
  <c r="F14" i="17" s="1"/>
  <c r="F13" i="17"/>
  <c r="G5" i="3"/>
  <c r="G14" i="17" s="1"/>
  <c r="G13" i="17"/>
  <c r="C5" i="3"/>
  <c r="C6" i="3" s="1"/>
  <c r="D5" i="3"/>
  <c r="D6" i="3" s="1"/>
  <c r="D44" i="3" s="1"/>
  <c r="D114" i="3" s="1"/>
  <c r="D145" i="3" s="1"/>
  <c r="G9" i="3"/>
  <c r="F9" i="3"/>
  <c r="F81" i="3" s="1"/>
  <c r="E9" i="3"/>
  <c r="I11" i="9"/>
  <c r="J11" i="9" s="1"/>
  <c r="E22" i="3" s="1"/>
  <c r="E103" i="3" s="1"/>
  <c r="I12" i="9"/>
  <c r="J12" i="9" s="1"/>
  <c r="D22" i="3" s="1"/>
  <c r="D103" i="3" s="1"/>
  <c r="D105" i="3" s="1"/>
  <c r="D164" i="3" l="1"/>
  <c r="D129" i="3"/>
  <c r="G75" i="3"/>
  <c r="G100" i="3"/>
  <c r="G80" i="3"/>
  <c r="G89" i="3"/>
  <c r="G73" i="3"/>
  <c r="H80" i="3"/>
  <c r="H75" i="3"/>
  <c r="F159" i="3"/>
  <c r="F6" i="3"/>
  <c r="F44" i="3" s="1"/>
  <c r="F114" i="3" s="1"/>
  <c r="F145" i="3" s="1"/>
  <c r="F8" i="3"/>
  <c r="G6" i="3"/>
  <c r="E105" i="3"/>
  <c r="E134" i="3"/>
  <c r="G123" i="3"/>
  <c r="G175" i="3" s="1"/>
  <c r="G85" i="3"/>
  <c r="F100" i="3"/>
  <c r="F123" i="3" s="1"/>
  <c r="F175" i="3" s="1"/>
  <c r="F85" i="3"/>
  <c r="F89" i="3"/>
  <c r="E100" i="3"/>
  <c r="E123" i="3" s="1"/>
  <c r="E175" i="3" s="1"/>
  <c r="E89" i="3"/>
  <c r="E85" i="3"/>
  <c r="D100" i="3"/>
  <c r="D123" i="3" s="1"/>
  <c r="D175" i="3" s="1"/>
  <c r="D89" i="3"/>
  <c r="D85" i="3"/>
  <c r="C100" i="3"/>
  <c r="C89" i="3"/>
  <c r="C85" i="3"/>
  <c r="C73" i="3"/>
  <c r="H81" i="3"/>
  <c r="H87" i="3"/>
  <c r="H85" i="3"/>
  <c r="H89" i="3"/>
  <c r="D134" i="3"/>
  <c r="G8" i="3"/>
  <c r="C87" i="3"/>
  <c r="C75" i="3"/>
  <c r="C81" i="3"/>
  <c r="C80" i="3"/>
  <c r="G81" i="3"/>
  <c r="G87" i="3"/>
  <c r="E80" i="3"/>
  <c r="E81" i="3"/>
  <c r="E75" i="3"/>
  <c r="E87" i="3"/>
  <c r="E73" i="3"/>
  <c r="D87" i="3"/>
  <c r="D80" i="3"/>
  <c r="D75" i="3"/>
  <c r="D81" i="3"/>
  <c r="D73" i="3"/>
  <c r="F75" i="3"/>
  <c r="F80" i="3"/>
  <c r="F87" i="3"/>
  <c r="F73" i="3"/>
  <c r="G21" i="17"/>
  <c r="G35" i="17"/>
  <c r="G36" i="17" s="1"/>
  <c r="G49" i="3" s="1"/>
  <c r="E21" i="17"/>
  <c r="E35" i="17"/>
  <c r="E36" i="17" s="1"/>
  <c r="E49" i="3" s="1"/>
  <c r="D21" i="17"/>
  <c r="D35" i="17"/>
  <c r="D36" i="17" s="1"/>
  <c r="D49" i="3" s="1"/>
  <c r="H21" i="17"/>
  <c r="H35" i="17"/>
  <c r="F21" i="17"/>
  <c r="F35" i="17"/>
  <c r="F36" i="17" s="1"/>
  <c r="F49" i="3" s="1"/>
  <c r="C21" i="17"/>
  <c r="C35" i="17"/>
  <c r="C36" i="17" s="1"/>
  <c r="C49" i="3" s="1"/>
  <c r="AG27" i="16"/>
  <c r="AG26" i="16"/>
  <c r="W21" i="16"/>
  <c r="W22" i="16" s="1"/>
  <c r="D46" i="3"/>
  <c r="AG19" i="16"/>
  <c r="C18" i="17"/>
  <c r="C17" i="17"/>
  <c r="C16" i="17"/>
  <c r="E17" i="17"/>
  <c r="E16" i="17"/>
  <c r="E18" i="17"/>
  <c r="F16" i="17"/>
  <c r="F18" i="17"/>
  <c r="F17" i="17"/>
  <c r="AH19" i="16"/>
  <c r="X21" i="16"/>
  <c r="X22" i="16" s="1"/>
  <c r="F47" i="3" s="1"/>
  <c r="F115" i="3" s="1"/>
  <c r="F130" i="3" s="1"/>
  <c r="AH26" i="16"/>
  <c r="E46" i="3"/>
  <c r="C8" i="3"/>
  <c r="C14" i="17"/>
  <c r="E8" i="3"/>
  <c r="E14" i="17"/>
  <c r="D8" i="3"/>
  <c r="D14" i="17"/>
  <c r="G16" i="17"/>
  <c r="G18" i="17"/>
  <c r="G17" i="17"/>
  <c r="D18" i="17"/>
  <c r="D16" i="17"/>
  <c r="D17" i="17"/>
  <c r="H17" i="17"/>
  <c r="H16" i="17"/>
  <c r="H18" i="17"/>
  <c r="AF26" i="16"/>
  <c r="AE19" i="16"/>
  <c r="AE26" i="16"/>
  <c r="AF19" i="16"/>
  <c r="V21" i="16"/>
  <c r="V22" i="16" s="1"/>
  <c r="H47" i="3" s="1"/>
  <c r="B24" i="2" s="1"/>
  <c r="AD26" i="16"/>
  <c r="AD19" i="16"/>
  <c r="Y21" i="16"/>
  <c r="Y22" i="16" s="1"/>
  <c r="E47" i="3" s="1"/>
  <c r="E115" i="3" s="1"/>
  <c r="E130" i="3" s="1"/>
  <c r="AI26" i="16"/>
  <c r="AI30" i="16"/>
  <c r="AI28" i="16"/>
  <c r="AI27" i="16"/>
  <c r="AI19" i="16"/>
  <c r="AI29" i="16"/>
  <c r="F46" i="3"/>
  <c r="AI20" i="16"/>
  <c r="AI21" i="16"/>
  <c r="AI23" i="16"/>
  <c r="AI22" i="16"/>
  <c r="F42" i="3"/>
  <c r="F113" i="3" s="1"/>
  <c r="H6" i="3"/>
  <c r="H44" i="3" s="1"/>
  <c r="B23" i="2" s="1"/>
  <c r="H14" i="17"/>
  <c r="K40" i="4"/>
  <c r="L32" i="4"/>
  <c r="K32" i="4"/>
  <c r="K17" i="4"/>
  <c r="K16" i="4"/>
  <c r="O13" i="4"/>
  <c r="E164" i="3" l="1"/>
  <c r="H36" i="17"/>
  <c r="H49" i="3" s="1"/>
  <c r="D11" i="2"/>
  <c r="D33" i="2" s="1"/>
  <c r="G47" i="3"/>
  <c r="G115" i="3" s="1"/>
  <c r="G130" i="3" s="1"/>
  <c r="G44" i="3"/>
  <c r="G114" i="3" s="1"/>
  <c r="G145" i="3" s="1"/>
  <c r="Z21" i="16"/>
  <c r="Z22" i="16" s="1"/>
  <c r="D47" i="3" s="1"/>
  <c r="D115" i="3" s="1"/>
  <c r="E154" i="3"/>
  <c r="AJ19" i="16"/>
  <c r="F154" i="3"/>
  <c r="G46" i="3"/>
  <c r="AJ26" i="16"/>
  <c r="D154" i="3"/>
  <c r="G154" i="3"/>
  <c r="D68" i="3"/>
  <c r="H82" i="3"/>
  <c r="H83" i="3" s="1"/>
  <c r="F144" i="3"/>
  <c r="O111" i="3" s="1"/>
  <c r="O110" i="3"/>
  <c r="C82" i="3"/>
  <c r="C83" i="3" s="1"/>
  <c r="C79" i="3" s="1"/>
  <c r="E82" i="3"/>
  <c r="E83" i="3" s="1"/>
  <c r="E79" i="3" s="1"/>
  <c r="F68" i="3"/>
  <c r="D82" i="3"/>
  <c r="D83" i="3" s="1"/>
  <c r="D79" i="3" s="1"/>
  <c r="D90" i="3" s="1"/>
  <c r="D121" i="3" s="1"/>
  <c r="D173" i="3" s="1"/>
  <c r="H123" i="3"/>
  <c r="H175" i="3" s="1"/>
  <c r="C68" i="3"/>
  <c r="E68" i="3"/>
  <c r="D133" i="3"/>
  <c r="E133" i="3"/>
  <c r="E129" i="3"/>
  <c r="E146" i="3"/>
  <c r="E160" i="3"/>
  <c r="F146" i="3"/>
  <c r="F160" i="3"/>
  <c r="E19" i="2"/>
  <c r="H115" i="3"/>
  <c r="H130" i="3" s="1"/>
  <c r="H114" i="3"/>
  <c r="F82" i="3"/>
  <c r="F83" i="3" s="1"/>
  <c r="F79" i="3" s="1"/>
  <c r="G82" i="3"/>
  <c r="G83" i="3" s="1"/>
  <c r="G79" i="3" s="1"/>
  <c r="D24" i="17"/>
  <c r="D25" i="17" s="1"/>
  <c r="D26" i="17" s="1"/>
  <c r="D48" i="3" s="1"/>
  <c r="D51" i="3" s="1"/>
  <c r="D116" i="3" s="1"/>
  <c r="D147" i="3" s="1"/>
  <c r="H24" i="17"/>
  <c r="C24" i="17"/>
  <c r="C25" i="17" s="1"/>
  <c r="C26" i="17" s="1"/>
  <c r="C48" i="3" s="1"/>
  <c r="C51" i="3" s="1"/>
  <c r="C116" i="3" s="1"/>
  <c r="C141" i="3" s="1"/>
  <c r="E24" i="17"/>
  <c r="E25" i="17" s="1"/>
  <c r="E26" i="17" s="1"/>
  <c r="E48" i="3" s="1"/>
  <c r="E51" i="3" s="1"/>
  <c r="E116" i="3" s="1"/>
  <c r="E147" i="3" s="1"/>
  <c r="F24" i="17"/>
  <c r="F25" i="17" s="1"/>
  <c r="F26" i="17" s="1"/>
  <c r="F48" i="3" s="1"/>
  <c r="F51" i="3" s="1"/>
  <c r="G24" i="17"/>
  <c r="G25" i="17" s="1"/>
  <c r="G26" i="17" s="1"/>
  <c r="G48" i="3" s="1"/>
  <c r="G51" i="3" s="1"/>
  <c r="G116" i="3" s="1"/>
  <c r="G147" i="3" s="1"/>
  <c r="AK27" i="16"/>
  <c r="AK26" i="16"/>
  <c r="H46" i="3"/>
  <c r="AK28" i="16"/>
  <c r="AK19" i="16"/>
  <c r="AK20" i="16"/>
  <c r="AK29" i="16"/>
  <c r="AK22" i="16"/>
  <c r="AK30" i="16"/>
  <c r="AK23" i="16"/>
  <c r="AK21" i="16"/>
  <c r="H42" i="3"/>
  <c r="B21" i="2" s="1"/>
  <c r="H73" i="3"/>
  <c r="H68" i="3" s="1"/>
  <c r="F13" i="3"/>
  <c r="D130" i="3" l="1"/>
  <c r="D160" i="3" s="1"/>
  <c r="H25" i="17"/>
  <c r="H26" i="17" s="1"/>
  <c r="H48" i="3" s="1"/>
  <c r="H51" i="3" s="1"/>
  <c r="G146" i="3"/>
  <c r="G160" i="3"/>
  <c r="E159" i="3"/>
  <c r="D159" i="3"/>
  <c r="D146" i="3"/>
  <c r="J115" i="3"/>
  <c r="E90" i="3"/>
  <c r="E121" i="3" s="1"/>
  <c r="E173" i="3" s="1"/>
  <c r="D152" i="3"/>
  <c r="F90" i="3"/>
  <c r="F121" i="3" s="1"/>
  <c r="F173" i="3" s="1"/>
  <c r="G68" i="3"/>
  <c r="G90" i="3" s="1"/>
  <c r="G121" i="3" s="1"/>
  <c r="G173" i="3" s="1"/>
  <c r="J114" i="3"/>
  <c r="H145" i="3"/>
  <c r="J145" i="3" s="1"/>
  <c r="H90" i="3"/>
  <c r="C90" i="3"/>
  <c r="H154" i="3"/>
  <c r="J154" i="3" s="1"/>
  <c r="J123" i="3"/>
  <c r="J175" i="3" s="1"/>
  <c r="H146" i="3"/>
  <c r="J146" i="3" s="1"/>
  <c r="H113" i="3"/>
  <c r="F52" i="3"/>
  <c r="F117" i="3" s="1"/>
  <c r="F125" i="3" s="1"/>
  <c r="F126" i="3" s="1"/>
  <c r="F116" i="3"/>
  <c r="F147" i="3" s="1"/>
  <c r="B25" i="2" l="1"/>
  <c r="B19" i="2" s="1"/>
  <c r="B33" i="2" s="1"/>
  <c r="H116" i="3"/>
  <c r="H52" i="3"/>
  <c r="O104" i="3"/>
  <c r="F170" i="3"/>
  <c r="E152" i="3"/>
  <c r="J130" i="3"/>
  <c r="F152" i="3"/>
  <c r="G152" i="3"/>
  <c r="Q110" i="3"/>
  <c r="H144" i="3"/>
  <c r="J113" i="3"/>
  <c r="H147" i="3"/>
  <c r="J147" i="3" s="1"/>
  <c r="J116" i="3"/>
  <c r="F143" i="3"/>
  <c r="O105" i="3" s="1"/>
  <c r="H160" i="3"/>
  <c r="J160" i="3" s="1"/>
  <c r="E34" i="2" s="1"/>
  <c r="H117" i="3"/>
  <c r="H121" i="3"/>
  <c r="H173" i="3" s="1"/>
  <c r="H170" i="3" l="1"/>
  <c r="H125" i="3"/>
  <c r="H126" i="3" s="1"/>
  <c r="F176" i="3"/>
  <c r="F127" i="3"/>
  <c r="J121" i="3"/>
  <c r="J173" i="3" s="1"/>
  <c r="H152" i="3"/>
  <c r="J152" i="3" s="1"/>
  <c r="Q111" i="3"/>
  <c r="J144" i="3"/>
  <c r="J117" i="3"/>
  <c r="J170" i="3" s="1"/>
  <c r="Q104" i="3"/>
  <c r="C19" i="2"/>
  <c r="C33" i="2" s="1"/>
  <c r="F155" i="3"/>
  <c r="H143" i="3"/>
  <c r="F65" i="4"/>
  <c r="E65" i="4"/>
  <c r="D65" i="4"/>
  <c r="C65" i="4"/>
  <c r="G65" i="4"/>
  <c r="C62" i="4"/>
  <c r="D62" i="4"/>
  <c r="E62" i="4"/>
  <c r="F62" i="4"/>
  <c r="G62" i="4"/>
  <c r="L13" i="4"/>
  <c r="M13" i="4"/>
  <c r="N13" i="4"/>
  <c r="K13" i="4"/>
  <c r="D61" i="4"/>
  <c r="E61" i="4"/>
  <c r="F61" i="4"/>
  <c r="G61" i="4"/>
  <c r="C61" i="4"/>
  <c r="A61" i="4"/>
  <c r="D60" i="4"/>
  <c r="E60" i="4"/>
  <c r="F60" i="4"/>
  <c r="G60" i="4"/>
  <c r="C60" i="4"/>
  <c r="A60" i="4"/>
  <c r="D59" i="4"/>
  <c r="E59" i="4"/>
  <c r="F59" i="4"/>
  <c r="G59" i="4"/>
  <c r="C59" i="4"/>
  <c r="A59" i="4"/>
  <c r="D57" i="4"/>
  <c r="L24" i="4" s="1"/>
  <c r="E57" i="4"/>
  <c r="M24" i="4" s="1"/>
  <c r="F57" i="4"/>
  <c r="N24" i="4" s="1"/>
  <c r="G57" i="4"/>
  <c r="O24" i="4" s="1"/>
  <c r="C57" i="4"/>
  <c r="K24" i="4" s="1"/>
  <c r="A57" i="4"/>
  <c r="D55" i="4"/>
  <c r="E55" i="4"/>
  <c r="F55" i="4"/>
  <c r="G55" i="4"/>
  <c r="C55" i="4"/>
  <c r="A55" i="4"/>
  <c r="D54" i="4"/>
  <c r="E54" i="4"/>
  <c r="F54" i="4"/>
  <c r="G54" i="4"/>
  <c r="C54" i="4"/>
  <c r="A54" i="4"/>
  <c r="D53" i="4"/>
  <c r="E53" i="4"/>
  <c r="F53" i="4"/>
  <c r="G53" i="4"/>
  <c r="C53" i="4"/>
  <c r="A53" i="4"/>
  <c r="D52" i="4"/>
  <c r="E52" i="4"/>
  <c r="F52" i="4"/>
  <c r="G52" i="4"/>
  <c r="C52" i="4"/>
  <c r="A52" i="4"/>
  <c r="D22" i="4"/>
  <c r="E22" i="4"/>
  <c r="F22" i="4"/>
  <c r="G22" i="4"/>
  <c r="C22" i="4"/>
  <c r="D44" i="4"/>
  <c r="F44" i="4"/>
  <c r="G44" i="4"/>
  <c r="C44" i="4"/>
  <c r="E44" i="4"/>
  <c r="D37" i="4"/>
  <c r="E37" i="4"/>
  <c r="F37" i="4"/>
  <c r="G37" i="4"/>
  <c r="C37" i="4"/>
  <c r="D11" i="4"/>
  <c r="E11" i="4"/>
  <c r="F11" i="4"/>
  <c r="G11" i="4"/>
  <c r="C11" i="4"/>
  <c r="D28" i="4"/>
  <c r="E28" i="4"/>
  <c r="F28" i="4"/>
  <c r="G28" i="4"/>
  <c r="C28" i="4"/>
  <c r="G4" i="4"/>
  <c r="F4" i="4"/>
  <c r="E4" i="4"/>
  <c r="D4" i="4"/>
  <c r="C4" i="4"/>
  <c r="D13" i="3"/>
  <c r="E13" i="3"/>
  <c r="G13" i="3"/>
  <c r="C13" i="3"/>
  <c r="H176" i="3" l="1"/>
  <c r="H127" i="3"/>
  <c r="G51" i="4"/>
  <c r="J125" i="3"/>
  <c r="J143" i="3"/>
  <c r="Q105" i="3"/>
  <c r="H155" i="3"/>
  <c r="J155" i="3" s="1"/>
  <c r="G76" i="2" s="1"/>
  <c r="F51" i="4"/>
  <c r="C51" i="4"/>
  <c r="E51" i="4"/>
  <c r="D51" i="4"/>
  <c r="G75" i="2" l="1"/>
  <c r="J176" i="3"/>
  <c r="EZ19" i="15" l="1"/>
  <c r="EZ23" i="15"/>
  <c r="EZ24" i="15" s="1"/>
  <c r="EU26" i="15" l="1"/>
  <c r="EZ26" i="15"/>
  <c r="AG20" i="16"/>
  <c r="AG12" i="16"/>
  <c r="AG29" i="16" s="1"/>
  <c r="AG11" i="16"/>
  <c r="AD10" i="16"/>
  <c r="AD12" i="16" l="1"/>
  <c r="AD29" i="16" s="1"/>
  <c r="AD27" i="16"/>
  <c r="AG22" i="16"/>
  <c r="AD11" i="16"/>
  <c r="AG13" i="16"/>
  <c r="AG28" i="16"/>
  <c r="AG21" i="16"/>
  <c r="AD22" i="16"/>
  <c r="AD20" i="16"/>
  <c r="AJ10" i="16"/>
  <c r="AF10" i="16"/>
  <c r="AD13" i="16"/>
  <c r="AD30" i="16" s="1"/>
  <c r="AH10" i="16"/>
  <c r="AE10" i="16"/>
  <c r="AE27" i="16" s="1"/>
  <c r="AG23" i="16" l="1"/>
  <c r="D41" i="3"/>
  <c r="AG30" i="16"/>
  <c r="AH20" i="16"/>
  <c r="AH27" i="16"/>
  <c r="AF11" i="16"/>
  <c r="AF28" i="16" s="1"/>
  <c r="AF27" i="16"/>
  <c r="AJ20" i="16"/>
  <c r="AJ27" i="16"/>
  <c r="AD21" i="16"/>
  <c r="AD28" i="16"/>
  <c r="AJ12" i="16"/>
  <c r="AJ11" i="16"/>
  <c r="AJ13" i="16"/>
  <c r="AE20" i="16"/>
  <c r="AE11" i="16"/>
  <c r="AE12" i="16"/>
  <c r="AE29" i="16" s="1"/>
  <c r="AD23" i="16"/>
  <c r="AH12" i="16"/>
  <c r="AH11" i="16"/>
  <c r="AF20" i="16"/>
  <c r="AF12" i="16"/>
  <c r="AF29" i="16" s="1"/>
  <c r="D42" i="3" l="1"/>
  <c r="AJ21" i="16"/>
  <c r="AJ28" i="16"/>
  <c r="AH13" i="16"/>
  <c r="AH21" i="16"/>
  <c r="AH28" i="16"/>
  <c r="AH22" i="16"/>
  <c r="AH29" i="16"/>
  <c r="G41" i="3"/>
  <c r="G42" i="3" s="1"/>
  <c r="G113" i="3" s="1"/>
  <c r="AJ23" i="16"/>
  <c r="AJ30" i="16"/>
  <c r="AE13" i="16"/>
  <c r="AE30" i="16" s="1"/>
  <c r="AE28" i="16"/>
  <c r="AJ22" i="16"/>
  <c r="AJ29" i="16"/>
  <c r="AF21" i="16"/>
  <c r="AE21" i="16"/>
  <c r="AF13" i="16"/>
  <c r="AF22" i="16"/>
  <c r="AE22" i="16"/>
  <c r="G144" i="3" l="1"/>
  <c r="P111" i="3" s="1"/>
  <c r="P110" i="3"/>
  <c r="D52" i="3"/>
  <c r="D117" i="3" s="1"/>
  <c r="D113" i="3"/>
  <c r="G52" i="3"/>
  <c r="G117" i="3" s="1"/>
  <c r="C41" i="3"/>
  <c r="C42" i="3" s="1"/>
  <c r="C113" i="3" s="1"/>
  <c r="C138" i="3" s="1"/>
  <c r="AF30" i="16"/>
  <c r="AH23" i="16"/>
  <c r="E41" i="3"/>
  <c r="E42" i="3" s="1"/>
  <c r="E113" i="3" s="1"/>
  <c r="AH30" i="16"/>
  <c r="AE23" i="16"/>
  <c r="AF23" i="16"/>
  <c r="G125" i="3" l="1"/>
  <c r="G126" i="3" s="1"/>
  <c r="G127" i="3" s="1"/>
  <c r="D128" i="3"/>
  <c r="D125" i="3"/>
  <c r="D126" i="3" s="1"/>
  <c r="D127" i="3" s="1"/>
  <c r="P104" i="3"/>
  <c r="G170" i="3"/>
  <c r="M104" i="3"/>
  <c r="D170" i="3"/>
  <c r="M110" i="3"/>
  <c r="D144" i="3"/>
  <c r="M111" i="3" s="1"/>
  <c r="E144" i="3"/>
  <c r="N111" i="3" s="1"/>
  <c r="N110" i="3"/>
  <c r="G176" i="3"/>
  <c r="G143" i="3"/>
  <c r="P105" i="3" s="1"/>
  <c r="D143" i="3"/>
  <c r="M105" i="3" s="1"/>
  <c r="C52" i="3"/>
  <c r="E52" i="3"/>
  <c r="E117" i="3" s="1"/>
  <c r="E125" i="3" s="1"/>
  <c r="E126" i="3" s="1"/>
  <c r="D176" i="3" l="1"/>
  <c r="N104" i="3"/>
  <c r="E170" i="3"/>
  <c r="D155" i="3"/>
  <c r="E143" i="3"/>
  <c r="N105" i="3" s="1"/>
  <c r="G155" i="3"/>
  <c r="E176" i="3" l="1"/>
  <c r="E127" i="3"/>
  <c r="E155" i="3"/>
  <c r="E33" i="2"/>
  <c r="H124" i="3" l="1"/>
  <c r="G124" i="3"/>
  <c r="G151" i="3" s="1"/>
  <c r="F124" i="3"/>
  <c r="F128" i="3" s="1"/>
  <c r="F158" i="3" s="1"/>
  <c r="D151" i="3"/>
  <c r="E124" i="3"/>
  <c r="E128" i="3" s="1"/>
  <c r="E158" i="3" s="1"/>
  <c r="H128" i="3" l="1"/>
  <c r="H158" i="3" s="1"/>
  <c r="J158" i="3" s="1"/>
  <c r="C34" i="2" s="1"/>
  <c r="J128" i="3"/>
  <c r="F177" i="3"/>
  <c r="E177" i="3"/>
  <c r="D158" i="3"/>
  <c r="G128" i="3"/>
  <c r="G158" i="3" s="1"/>
  <c r="H177" i="3"/>
  <c r="E151" i="3"/>
  <c r="F151" i="3"/>
  <c r="J124" i="3"/>
  <c r="D177" i="3"/>
  <c r="G177" i="3"/>
  <c r="H151" i="3"/>
  <c r="J151" i="3" s="1"/>
  <c r="H178" i="3" l="1"/>
  <c r="H156" i="3"/>
  <c r="J156" i="3" s="1"/>
  <c r="G96" i="2" s="1"/>
  <c r="J126" i="3"/>
  <c r="E156" i="3"/>
  <c r="G156" i="3"/>
  <c r="D156" i="3"/>
  <c r="F156" i="3"/>
  <c r="G95" i="2" l="1"/>
  <c r="J177" i="3"/>
  <c r="G157" i="3"/>
  <c r="G178" i="3"/>
  <c r="E157" i="3"/>
  <c r="E178" i="3"/>
  <c r="F157" i="3"/>
  <c r="F178" i="3"/>
  <c r="D157" i="3"/>
  <c r="D178" i="3"/>
  <c r="J127" i="3"/>
  <c r="J178" i="3" s="1"/>
  <c r="H157" i="3"/>
  <c r="J157" i="3" s="1"/>
  <c r="B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Stefán Þór Kristinsson</author>
  </authors>
  <commentList>
    <comment ref="H4" authorId="0" shapeId="0" xr:uid="{72C178DF-697F-4083-B584-69E32BEDF7F3}">
      <text>
        <r>
          <rPr>
            <b/>
            <sz val="9"/>
            <color indexed="81"/>
            <rFont val="Tahoma"/>
            <family val="2"/>
          </rPr>
          <t>Stefán Þór Kristinsson:</t>
        </r>
        <r>
          <rPr>
            <sz val="9"/>
            <color indexed="81"/>
            <rFont val="Tahoma"/>
            <family val="2"/>
          </rPr>
          <t xml:space="preserve">
Reykjavík+Kjalarnes</t>
        </r>
      </text>
    </comment>
    <comment ref="H5" authorId="0" shapeId="0" xr:uid="{B9427715-5AB5-41BC-9B05-0589A7D4B3CE}">
      <text>
        <r>
          <rPr>
            <b/>
            <sz val="9"/>
            <color indexed="81"/>
            <rFont val="Tahoma"/>
            <family val="2"/>
          </rPr>
          <t>Stefán Þór Kristinsson:</t>
        </r>
        <r>
          <rPr>
            <sz val="9"/>
            <color indexed="81"/>
            <rFont val="Tahoma"/>
            <family val="2"/>
          </rPr>
          <t xml:space="preserve">
RVK+HFJ+GBR+ÁTN+KÓP+STN+MSB+MSD+Strjálbýli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Stefán Þór Kristinsson</author>
  </authors>
  <commentList>
    <comment ref="I24" authorId="0" shapeId="0" xr:uid="{F91603A0-AF16-4F61-8B05-ABB33F9ED2C4}">
      <text>
        <r>
          <rPr>
            <b/>
            <sz val="9"/>
            <color indexed="81"/>
            <rFont val="Tahoma"/>
            <family val="2"/>
          </rPr>
          <t>Stefán Þór Kristinsson:</t>
        </r>
        <r>
          <rPr>
            <sz val="9"/>
            <color indexed="81"/>
            <rFont val="Tahoma"/>
            <family val="2"/>
          </rPr>
          <t xml:space="preserve">
veitur.is/kolefnisspor</t>
        </r>
      </text>
    </comment>
  </commentList>
</comments>
</file>

<file path=xl/sharedStrings.xml><?xml version="1.0" encoding="utf-8"?>
<sst xmlns="http://schemas.openxmlformats.org/spreadsheetml/2006/main" count="2399" uniqueCount="632">
  <si>
    <t>Einingar</t>
  </si>
  <si>
    <t>-</t>
  </si>
  <si>
    <t>Umhverfi</t>
  </si>
  <si>
    <t>Umfang 1</t>
  </si>
  <si>
    <t>tCO2í</t>
  </si>
  <si>
    <t>Umfang 3</t>
  </si>
  <si>
    <t>Orkunotkun</t>
  </si>
  <si>
    <t>kWst</t>
  </si>
  <si>
    <t>kg</t>
  </si>
  <si>
    <t xml:space="preserve">  Metan</t>
  </si>
  <si>
    <t>Fjöldi ökutækja</t>
  </si>
  <si>
    <t>Fjöldi skipa</t>
  </si>
  <si>
    <t>Heildar losun frá notkun kælimiðla</t>
  </si>
  <si>
    <t>tCO2Í</t>
  </si>
  <si>
    <t>Umfang 2</t>
  </si>
  <si>
    <t>Mars</t>
  </si>
  <si>
    <t>Apríl</t>
  </si>
  <si>
    <t>Maí</t>
  </si>
  <si>
    <t>Júní</t>
  </si>
  <si>
    <t>Júlí</t>
  </si>
  <si>
    <t>Ágúst</t>
  </si>
  <si>
    <t>Samtals</t>
  </si>
  <si>
    <t>Skip</t>
  </si>
  <si>
    <t>tCO2 íg</t>
  </si>
  <si>
    <t>t</t>
  </si>
  <si>
    <t>Dísil</t>
  </si>
  <si>
    <t>Hlutfall fiskiskipa</t>
  </si>
  <si>
    <t xml:space="preserve">Losun fiskiskipa </t>
  </si>
  <si>
    <t>Orka</t>
  </si>
  <si>
    <t>Iðnaður</t>
  </si>
  <si>
    <t>Iðnaður og efnanotkun</t>
  </si>
  <si>
    <t>Landbúnaður</t>
  </si>
  <si>
    <t>Úrgangur</t>
  </si>
  <si>
    <t>Losun (án landnotkunar og skógræktar)</t>
  </si>
  <si>
    <t>https://www.ust.is/loft/losun-grodurhusalofttegunda/losun-islands/</t>
  </si>
  <si>
    <t>Fiskiskip</t>
  </si>
  <si>
    <t>Vegasamgöngur</t>
  </si>
  <si>
    <t>Innanlandsflug</t>
  </si>
  <si>
    <t>Strandsiglingar</t>
  </si>
  <si>
    <t>Vélar og tæki</t>
  </si>
  <si>
    <t>Eldsneytisbruni vegna iðnaðar</t>
  </si>
  <si>
    <t>Jarðvarmavirkjanir</t>
  </si>
  <si>
    <t>Annað</t>
  </si>
  <si>
    <t>Steinefnaiðnaður</t>
  </si>
  <si>
    <t>Efnaiðnaður</t>
  </si>
  <si>
    <t>Málmiðnaður</t>
  </si>
  <si>
    <t>Leysiefni</t>
  </si>
  <si>
    <t>F-gös (m.a. kælimiðlar)</t>
  </si>
  <si>
    <t>Efnanotkun</t>
  </si>
  <si>
    <t>Iðragerjun</t>
  </si>
  <si>
    <t>Meðhöndlun húsdýraáburðar</t>
  </si>
  <si>
    <t>Nytjajarðvegur</t>
  </si>
  <si>
    <t>Áburður</t>
  </si>
  <si>
    <t>Losun skipt eftir skuldbindingu (án landnotkunar og skógræktar)</t>
  </si>
  <si>
    <t>Urðun úrgangs</t>
  </si>
  <si>
    <t>Jarðgerð</t>
  </si>
  <si>
    <t>Brennsla og opinn bruni</t>
  </si>
  <si>
    <t>Meðhöndlun skólps</t>
  </si>
  <si>
    <t>Losun BÁS</t>
  </si>
  <si>
    <t>Annað - Orka</t>
  </si>
  <si>
    <t>Annað - Iðnaður</t>
  </si>
  <si>
    <t>Eldsneytisbruni (orka), staðbundinn iðnaður (CO2)</t>
  </si>
  <si>
    <t>Kísil- og kísilmálmframleiðsla (CO2)</t>
  </si>
  <si>
    <t>Álframleiðsla (CO2 og PFC)</t>
  </si>
  <si>
    <t>Losun frá staðbundnum iðnaði sem fellur undir viðskiptakerfi ESB</t>
  </si>
  <si>
    <t>Losun</t>
  </si>
  <si>
    <t>Losunarstuðull</t>
  </si>
  <si>
    <t>Raforka</t>
  </si>
  <si>
    <t>kWh</t>
  </si>
  <si>
    <t>..</t>
  </si>
  <si>
    <t>gCO2/kWst</t>
  </si>
  <si>
    <t>Almennar upplýsingar</t>
  </si>
  <si>
    <t>Fólksfjöldi Reykjavík</t>
  </si>
  <si>
    <t>Fólksfjöldi HBS</t>
  </si>
  <si>
    <t>Hlutfall RVK</t>
  </si>
  <si>
    <t>Fólksfjöldi Ísland</t>
  </si>
  <si>
    <t>Hlutfall HBS</t>
  </si>
  <si>
    <t>Hagstofa</t>
  </si>
  <si>
    <t>Samgöngur</t>
  </si>
  <si>
    <t>Samtals Reykjavík með dreifitöpum</t>
  </si>
  <si>
    <t xml:space="preserve">Loftlagsbókhald Reykjavíkur - Tölur </t>
  </si>
  <si>
    <t xml:space="preserve">Athuga dálkar sem eru merktir með gulum lit eru þeir sem voru settir inn í CIRIS og/eða minnisblaðið. </t>
  </si>
  <si>
    <t>Magn [GWh]</t>
  </si>
  <si>
    <t>Ár</t>
  </si>
  <si>
    <t>Rauðavatn, 132 kV</t>
  </si>
  <si>
    <t>Korpa, 132 kV</t>
  </si>
  <si>
    <t>Heildarorka</t>
  </si>
  <si>
    <t>Heildarorka [kWh]</t>
  </si>
  <si>
    <t>Stuðull [g CO2 íg/kwh]</t>
  </si>
  <si>
    <t>Losun [g CO2 íg]</t>
  </si>
  <si>
    <t>Losun [tCO2 íg]</t>
  </si>
  <si>
    <t>Uppruni gagna</t>
  </si>
  <si>
    <t>Raforkuspá 2019-2050 og National Inventory report 2019</t>
  </si>
  <si>
    <t>Heitt vatn (upphitun)</t>
  </si>
  <si>
    <t>Athugasemd</t>
  </si>
  <si>
    <t>Uppruni upplýsinga</t>
  </si>
  <si>
    <t>GL</t>
  </si>
  <si>
    <t>Hitaveita í Reykjavík nýttir sér jarðhitavatn frá lághitasvæðunum í Elliðaám, Laugarnesi, Reykjum og Reykjahlíð. Að auki kemur um helmingur alls vatns frá háhitasvæðum í Henglinum (Nesjavellir og Hellisheiði), þar sem kalt grunnvatn er hitað og meðhöndlað.</t>
  </si>
  <si>
    <t>HSA-05 RVK</t>
  </si>
  <si>
    <t>HSB-01 KJN</t>
  </si>
  <si>
    <t>Samtals RVK</t>
  </si>
  <si>
    <t>Losun vegna raforku</t>
  </si>
  <si>
    <t>Samantekt</t>
  </si>
  <si>
    <t>Losun (tCO2 ígilda)</t>
  </si>
  <si>
    <t>Hitaveita</t>
  </si>
  <si>
    <t>Götuumferð</t>
  </si>
  <si>
    <t>Skipaumferð</t>
  </si>
  <si>
    <t>Flugumferð</t>
  </si>
  <si>
    <t>Urðun</t>
  </si>
  <si>
    <t>Brennsla</t>
  </si>
  <si>
    <t>Fráveita</t>
  </si>
  <si>
    <t>Landnotkun</t>
  </si>
  <si>
    <t>Búfjárræktun</t>
  </si>
  <si>
    <t>Byggingariðnaður</t>
  </si>
  <si>
    <t>Orkuspásvæði</t>
  </si>
  <si>
    <t>HSA-05 Reykjavík</t>
  </si>
  <si>
    <t>HSB-01 Kjalarnes</t>
  </si>
  <si>
    <t>Samtals HAS-05 og HSB-01</t>
  </si>
  <si>
    <t>Deifitöp*</t>
  </si>
  <si>
    <t>* Er ætlað sem hlutfall af dreifitöpum Veitna</t>
  </si>
  <si>
    <t>Veitur (Viðauki 2 í Raforkuspá)</t>
  </si>
  <si>
    <t>Afhending til notenda</t>
  </si>
  <si>
    <t>Dreifitöp</t>
  </si>
  <si>
    <t>Orkuöflun</t>
  </si>
  <si>
    <t>Töp og ómæld notkun % af orkuöflun</t>
  </si>
  <si>
    <t xml:space="preserve"> </t>
  </si>
  <si>
    <t>Eldri útreikningar á dreifitöpum</t>
  </si>
  <si>
    <t>Skekkja  í útreikningum á dreiftöpum</t>
  </si>
  <si>
    <t>Vatnsvinnsla hitaveitu í RVK [GL]</t>
  </si>
  <si>
    <t>Framleiðsla [MWth]</t>
  </si>
  <si>
    <t>Gretar Ívarsson og Simon Klüpfel. (2021). Hitaveita í Reykjavík – Vatnsvinnsla 2020. Reykjavík: Veitur / Orkuveita Reykjavíkur.</t>
  </si>
  <si>
    <t>Gretar Ívarsson, Simon Klüpfel, Sigrún Tómasdóttir og Hendrik Tómasson. (2020). Hitaveita í Reykjavík – Vatnsvinnsla 2019. Reykjavík: Veitur / Orkuveita Reykjavíkur.</t>
  </si>
  <si>
    <t>Gretar Ívarsson, Simon Klüpfel, Sigrún Tómasdóttir og Hendrik Tómasson. (2019). Hitaveita í Reykjavík – Vatnsvinnsla 2018. Reykjavík: Veitur / Orkuveita Reykjavíkur.</t>
  </si>
  <si>
    <t>Framleiðsla [MWh]</t>
  </si>
  <si>
    <t>Stuðull [g CO2 íg/m3]</t>
  </si>
  <si>
    <t>Hitavatnsvinnsla</t>
  </si>
  <si>
    <t>gCO2/m3</t>
  </si>
  <si>
    <t>Gretar Ívarsson. (2018). Hitaveita í Reykjavík – Vatnsvinnslan og efnafræði vatnsins 2017. Reykjavík: Veitur / Orkuveita Reykjavíkur.</t>
  </si>
  <si>
    <t>Gretar Ívarsson. (2017). Hitaveita í Reykjavík – Vatnsvinnslan og efnafræði vatnsins 2016. Reykjavík: Veitur / Orkuveita Reykjavíkur.</t>
  </si>
  <si>
    <t>Gretar Ívarsson. (2016). Hitaveita í Reykjavík – Vatnsvinnslan og efnafræði vatnsins 2015. Reykjavík: Veitur / Orkuveita Reykjavíkur.</t>
  </si>
  <si>
    <t>Losun vegna hitaveitu</t>
  </si>
  <si>
    <t xml:space="preserve">Tafla 1. sýnir meðalumferð á dag eftir mánuðum í þremur völdum sniðum innan höfuðborgarsvæðis. </t>
  </si>
  <si>
    <t>Höfuðborgarsvæðið</t>
  </si>
  <si>
    <t>Hafnarfjarðarvegur sunnan Kópavogslækjar</t>
  </si>
  <si>
    <t>Reykjanesbraut við Dalveg í Kópavogi</t>
  </si>
  <si>
    <r>
      <t xml:space="preserve">Vesturlandsvegur (Nesbraut) móts við Skeljung, </t>
    </r>
    <r>
      <rPr>
        <sz val="8"/>
        <rFont val="Arial"/>
        <family val="2"/>
      </rPr>
      <t>(ofan Ártúnsbrekku)</t>
    </r>
  </si>
  <si>
    <t>Samanlögð meðalumferð á talningastöðum</t>
  </si>
  <si>
    <t>Meðalumfer/dag fyrir hvern mánuð lagður saman (reiknitala)</t>
  </si>
  <si>
    <t xml:space="preserve">          ---- Mismunur ----</t>
  </si>
  <si>
    <t xml:space="preserve">samtals </t>
  </si>
  <si>
    <t>Fjöldi í úrtaki</t>
  </si>
  <si>
    <t>Hlutfall í úrtaki</t>
  </si>
  <si>
    <t>Meðalakstur á dag</t>
  </si>
  <si>
    <t>Meðalakstur á ári</t>
  </si>
  <si>
    <t>milljón km</t>
  </si>
  <si>
    <t>Lengd vegkafla í km →</t>
  </si>
  <si>
    <t>Umferð</t>
  </si>
  <si>
    <t>Meðalumferð</t>
  </si>
  <si>
    <t>Bensín</t>
  </si>
  <si>
    <t>Emission factors (T/TJ)</t>
  </si>
  <si>
    <r>
      <t>Ár↓    mán.↓   Vegnr</t>
    </r>
    <r>
      <rPr>
        <sz val="10"/>
        <rFont val="Arial"/>
        <family val="2"/>
      </rPr>
      <t>.→</t>
    </r>
  </si>
  <si>
    <t>40-03</t>
  </si>
  <si>
    <t>41-12</t>
  </si>
  <si>
    <t>49-01</t>
  </si>
  <si>
    <t>Uppsafnað</t>
  </si>
  <si>
    <t xml:space="preserve">Vegkaflar </t>
  </si>
  <si>
    <t xml:space="preserve">Samtals </t>
  </si>
  <si>
    <t>SGS  - Staða í lok árs</t>
  </si>
  <si>
    <t>Í Umferð</t>
  </si>
  <si>
    <t>Fólksbifreiðar</t>
  </si>
  <si>
    <t>L/100km</t>
  </si>
  <si>
    <t>L/km</t>
  </si>
  <si>
    <t>kg/L</t>
  </si>
  <si>
    <t>kg/km (kT/mkm)</t>
  </si>
  <si>
    <t>TJ/kT</t>
  </si>
  <si>
    <t>TJ/mkm</t>
  </si>
  <si>
    <t>CO2</t>
  </si>
  <si>
    <t>CH4</t>
  </si>
  <si>
    <t>N2O</t>
  </si>
  <si>
    <t>TJ</t>
  </si>
  <si>
    <t>CO2-íg/L</t>
  </si>
  <si>
    <t>kg CO2 íg</t>
  </si>
  <si>
    <t>T CO2 íg</t>
  </si>
  <si>
    <r>
      <t xml:space="preserve"> Umferð</t>
    </r>
    <r>
      <rPr>
        <sz val="10"/>
        <rFont val="Arial"/>
        <family val="2"/>
      </rPr>
      <t>→</t>
    </r>
  </si>
  <si>
    <t>Fjöldi bíla pr. dag</t>
  </si>
  <si>
    <r>
      <rPr>
        <sz val="11"/>
        <rFont val="Arial"/>
        <family val="2"/>
      </rPr>
      <t>Σ</t>
    </r>
    <r>
      <rPr>
        <sz val="10"/>
        <rFont val="Arial"/>
        <family val="2"/>
      </rPr>
      <t xml:space="preserve"> umf/dag</t>
    </r>
  </si>
  <si>
    <r>
      <rPr>
        <sz val="11"/>
        <rFont val="Arial"/>
        <family val="2"/>
      </rPr>
      <t>Σ</t>
    </r>
    <r>
      <rPr>
        <sz val="10"/>
        <rFont val="Arial"/>
        <family val="2"/>
      </rPr>
      <t xml:space="preserve"> umferð</t>
    </r>
  </si>
  <si>
    <t>Mánaða</t>
  </si>
  <si>
    <t>Af er árs</t>
  </si>
  <si>
    <t>Fólksbifreið</t>
  </si>
  <si>
    <t>Hópbifreiðar ≤5t</t>
  </si>
  <si>
    <t>Janúar</t>
  </si>
  <si>
    <t>Sendibifreið</t>
  </si>
  <si>
    <t>Hópbifreiðar &gt;5t</t>
  </si>
  <si>
    <t>Fólksbílar</t>
  </si>
  <si>
    <t>Febrúar</t>
  </si>
  <si>
    <t>Dráttarvél</t>
  </si>
  <si>
    <t>Sendibifreiðar</t>
  </si>
  <si>
    <t>Tjaldvagn</t>
  </si>
  <si>
    <t>Vörubifreiðar ≤12t</t>
  </si>
  <si>
    <t>Eftirvagn</t>
  </si>
  <si>
    <t>Vörubifreiðar &gt;12t</t>
  </si>
  <si>
    <t>Smáar hópbifreiðar</t>
  </si>
  <si>
    <t>Hópbifreiðar</t>
  </si>
  <si>
    <t>Hjólhýsi</t>
  </si>
  <si>
    <t>Dísel</t>
  </si>
  <si>
    <t>Vöruflutningar</t>
  </si>
  <si>
    <t>Þungt bifhjól</t>
  </si>
  <si>
    <t>Beitabifhjól</t>
  </si>
  <si>
    <t>Sendibílar</t>
  </si>
  <si>
    <t>Vörubifreið II</t>
  </si>
  <si>
    <t>September</t>
  </si>
  <si>
    <t>Vörubifreið I</t>
  </si>
  <si>
    <t>Október</t>
  </si>
  <si>
    <t>Fellihýsi</t>
  </si>
  <si>
    <t>Stærri hópbifreiðar</t>
  </si>
  <si>
    <t>Nóvember</t>
  </si>
  <si>
    <t>Desember</t>
  </si>
  <si>
    <t>Alls</t>
  </si>
  <si>
    <t>Í umferð</t>
  </si>
  <si>
    <t>Meðalumferð/dag ≈  ÁDU</t>
  </si>
  <si>
    <t>Milli áranna 2005 og 2006</t>
  </si>
  <si>
    <t>Hópbifreið I (M2)</t>
  </si>
  <si>
    <t>Hópbifreið II (M3)</t>
  </si>
  <si>
    <t>Milli áranna 2006 og 2007</t>
  </si>
  <si>
    <t>https://www.samgongustofa.is/umferd/tolfraedi/onnur-tolfraedi/</t>
  </si>
  <si>
    <t>Milli áranna 2007 og 2008</t>
  </si>
  <si>
    <t>Milli áranna 2008 og 2009</t>
  </si>
  <si>
    <t>mkm</t>
  </si>
  <si>
    <t>Skipting AK2018</t>
  </si>
  <si>
    <t>HVDU</t>
  </si>
  <si>
    <t>Milli áranna 2009 og 2010</t>
  </si>
  <si>
    <t>VU</t>
  </si>
  <si>
    <t>ÁU</t>
  </si>
  <si>
    <t>í Reykjavík</t>
  </si>
  <si>
    <t>Milli áranna 2010 og 2011</t>
  </si>
  <si>
    <t>Milli áranna 2011 og 2012</t>
  </si>
  <si>
    <r>
      <t xml:space="preserve">2013                </t>
    </r>
    <r>
      <rPr>
        <b/>
        <i/>
        <sz val="9"/>
        <rFont val="Arial"/>
        <family val="2"/>
      </rPr>
      <t xml:space="preserve"> </t>
    </r>
    <r>
      <rPr>
        <i/>
        <sz val="9"/>
        <rFont val="Arial"/>
        <family val="2"/>
      </rPr>
      <t>(teljari 40-03, bilaður frá apríl - des)</t>
    </r>
  </si>
  <si>
    <t>Milli áranna 2012 og 2013</t>
  </si>
  <si>
    <t>Milli áranna 2019 og 2012</t>
  </si>
  <si>
    <t>Milli áranna 2013 og 2014</t>
  </si>
  <si>
    <t>Milli áranna 2014 og 2015</t>
  </si>
  <si>
    <r>
      <t>ÁDU</t>
    </r>
    <r>
      <rPr>
        <vertAlign val="subscript"/>
        <sz val="10"/>
        <rFont val="Arial"/>
        <family val="2"/>
      </rPr>
      <t>nálgað</t>
    </r>
  </si>
  <si>
    <t>Milli áranna 2015 og 2016</t>
  </si>
  <si>
    <t>Milli áranna 2016 og 2017</t>
  </si>
  <si>
    <t>Milli áranna 2017 og 2018</t>
  </si>
  <si>
    <r>
      <t>2020</t>
    </r>
    <r>
      <rPr>
        <b/>
        <sz val="20"/>
        <color rgb="FFFF0000"/>
        <rFont val="Arial"/>
        <family val="2"/>
      </rPr>
      <t>(grófrýnt)</t>
    </r>
  </si>
  <si>
    <t>g/kwh</t>
  </si>
  <si>
    <t>t/kwh</t>
  </si>
  <si>
    <t>kwh/TJ</t>
  </si>
  <si>
    <t>t/TJ</t>
  </si>
  <si>
    <t>Metan og annað eldsneyti</t>
  </si>
  <si>
    <t>Rafmagn</t>
  </si>
  <si>
    <t>Tengitvinnbílar</t>
  </si>
  <si>
    <t>Tvinnbílar</t>
  </si>
  <si>
    <t>E.þ. &lt;= 500 kg</t>
  </si>
  <si>
    <t>500 kg &lt; e.þ. &lt;= 1000 kg</t>
  </si>
  <si>
    <t>1000 kg &lt; e.þ. &lt;= 1200 kg</t>
  </si>
  <si>
    <t>1200 kg &lt; e.þ. &lt;= 1400 kg</t>
  </si>
  <si>
    <t>1400 kg &lt; e.þ. &lt;= 1600 kg</t>
  </si>
  <si>
    <t>1600 kg &lt; e.þ. &lt;= 2000 kg</t>
  </si>
  <si>
    <t>2000 kg &lt; e.þ. &lt;= 2500 kg</t>
  </si>
  <si>
    <t>2500 kg &lt; e.þ. &lt;= 3000 kg</t>
  </si>
  <si>
    <t>3000 kg &lt; e.þ. &lt;= 4000 kg</t>
  </si>
  <si>
    <t>4000 kg &lt; e.þ. &lt;= 6000 kg</t>
  </si>
  <si>
    <t>E.þ &gt; 6000 kg</t>
  </si>
  <si>
    <t>Tafla 1. sýnir</t>
  </si>
  <si>
    <t>Reykjavíkurflugvöllur</t>
  </si>
  <si>
    <r>
      <t>Ár↓    teg.↓   E</t>
    </r>
    <r>
      <rPr>
        <sz val="10"/>
        <rFont val="Arial"/>
        <family val="2"/>
      </rPr>
      <t>.→</t>
    </r>
  </si>
  <si>
    <t>Farþegar</t>
  </si>
  <si>
    <t>Hreyfingar</t>
  </si>
  <si>
    <t>Cargo</t>
  </si>
  <si>
    <t>Yfirflug</t>
  </si>
  <si>
    <r>
      <rPr>
        <sz val="11"/>
        <rFont val="Arial"/>
        <family val="2"/>
      </rPr>
      <t>Σ</t>
    </r>
    <r>
      <rPr>
        <sz val="10"/>
        <rFont val="Arial"/>
        <family val="2"/>
      </rPr>
      <t xml:space="preserve"> </t>
    </r>
  </si>
  <si>
    <t>Milli áranna 2018 og 2019</t>
  </si>
  <si>
    <t>Milli áranna 2019 og 2020</t>
  </si>
  <si>
    <t>Kef apr 2019-20</t>
  </si>
  <si>
    <t>Milli áranna 2020 og 2021</t>
  </si>
  <si>
    <t>2015M07</t>
  </si>
  <si>
    <t>2015M08</t>
  </si>
  <si>
    <t>Sundahöfn</t>
  </si>
  <si>
    <t>Gamla höfnin</t>
  </si>
  <si>
    <t>2015M09</t>
  </si>
  <si>
    <t>2015M10</t>
  </si>
  <si>
    <t>2015M11</t>
  </si>
  <si>
    <t>2015M12</t>
  </si>
  <si>
    <t>2016M01</t>
  </si>
  <si>
    <t>Losun (tonn)</t>
  </si>
  <si>
    <t>2016M02</t>
  </si>
  <si>
    <t>Þurrflutningaskip</t>
  </si>
  <si>
    <t>2016M03</t>
  </si>
  <si>
    <t>Gámaskip</t>
  </si>
  <si>
    <t>2016M04</t>
  </si>
  <si>
    <t>Almenn flutningaskip</t>
  </si>
  <si>
    <t>2016M05</t>
  </si>
  <si>
    <t>Tankskip</t>
  </si>
  <si>
    <t>2016M06</t>
  </si>
  <si>
    <t>Flutningaskip</t>
  </si>
  <si>
    <t>2016M07</t>
  </si>
  <si>
    <t>RoRo og ferjur</t>
  </si>
  <si>
    <t>2016M08</t>
  </si>
  <si>
    <t>Skemmtiferðaskip</t>
  </si>
  <si>
    <t>2016M09</t>
  </si>
  <si>
    <t>Farþegaskip</t>
  </si>
  <si>
    <t>2016M10</t>
  </si>
  <si>
    <t>Flutninga- og farþegaskip</t>
  </si>
  <si>
    <t>2016M11</t>
  </si>
  <si>
    <t>2016M12</t>
  </si>
  <si>
    <t>Hvalaskoðunarskip</t>
  </si>
  <si>
    <t>2017M01</t>
  </si>
  <si>
    <t>Önnur skip</t>
  </si>
  <si>
    <t>2017M02</t>
  </si>
  <si>
    <t>2017M03</t>
  </si>
  <si>
    <t>Af því gámar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</si>
  <si>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</si>
  <si>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</si>
  <si>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</si>
  <si>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</si>
  <si>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</si>
  <si>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</si>
  <si>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</si>
  <si>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</si>
  <si>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</si>
  <si>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</si>
  <si>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</si>
  <si>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</si>
  <si>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</si>
  <si>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</si>
  <si>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</si>
  <si>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</si>
  <si>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</si>
  <si>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</si>
  <si>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</si>
  <si>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</si>
  <si>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</si>
  <si>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</si>
  <si>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</si>
  <si>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</si>
  <si>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</si>
  <si>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</si>
  <si>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Farþega- og flutningaskip</t>
  </si>
  <si>
    <t>2019M06</t>
  </si>
  <si>
    <t>2019M07</t>
  </si>
  <si>
    <t>2019M08</t>
  </si>
  <si>
    <t>http://www.faxafloahafnir.is/cruiseships/index.php?pid=1&amp;w=v</t>
  </si>
  <si>
    <t>2019M09</t>
  </si>
  <si>
    <t>2019M10</t>
  </si>
  <si>
    <t>GRT</t>
  </si>
  <si>
    <t>Áhöfn</t>
  </si>
  <si>
    <t>Farþegar og áhöfn</t>
  </si>
  <si>
    <t>Skipakomur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</si>
  <si>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</si>
  <si>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</si>
  <si>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</si>
  <si>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</si>
  <si>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</si>
  <si>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</si>
  <si>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</si>
  <si>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</si>
  <si>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</si>
  <si>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</si>
  <si>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58.235,02020M0855.303,6</t>
  </si>
  <si>
    <t>2018-2019</t>
  </si>
  <si>
    <t xml:space="preserve">  -- Breytingar --</t>
  </si>
  <si>
    <t xml:space="preserve"> -- Breytingar --</t>
  </si>
  <si>
    <t>Hafnarsvæði Reykjavíkur</t>
  </si>
  <si>
    <t>Breytingar á milli ára</t>
  </si>
  <si>
    <t>Losun vegna skipa</t>
  </si>
  <si>
    <t>Magn ekið</t>
  </si>
  <si>
    <t>Losun vegna götuumferðar</t>
  </si>
  <si>
    <t>Fjöldi skipakoma</t>
  </si>
  <si>
    <t>Losun vegna flugumferðar</t>
  </si>
  <si>
    <t>Úrgangur og fráveita</t>
  </si>
  <si>
    <t>Magn urðað</t>
  </si>
  <si>
    <t>Losun vegna urðunar</t>
  </si>
  <si>
    <t>Magn brennt</t>
  </si>
  <si>
    <t>Losun vegna brennslu</t>
  </si>
  <si>
    <t>Loftslagsbókhald Reykjavíkur</t>
  </si>
  <si>
    <t>Losun (tCO2 íg)</t>
  </si>
  <si>
    <t>Losun vegna fráveitu</t>
  </si>
  <si>
    <t>Hlutfall sauðfé</t>
  </si>
  <si>
    <t>Hlutfall nautgripa</t>
  </si>
  <si>
    <t>Án mjólkurkúa</t>
  </si>
  <si>
    <t>Hlutfall svín</t>
  </si>
  <si>
    <t>Losun vegna meðferðar og geymslu mykju</t>
  </si>
  <si>
    <t>Ær</t>
  </si>
  <si>
    <t>Mjólkurkýr</t>
  </si>
  <si>
    <t>Gyltur</t>
  </si>
  <si>
    <t>Hrútar og sauðir</t>
  </si>
  <si>
    <t>Naut</t>
  </si>
  <si>
    <t>Grísir</t>
  </si>
  <si>
    <t>CO2 íg</t>
  </si>
  <si>
    <t>Melting</t>
  </si>
  <si>
    <t>Table3.As1</t>
  </si>
  <si>
    <t>Ásetningslömb</t>
  </si>
  <si>
    <t>Kálfar</t>
  </si>
  <si>
    <t>Nautgripir</t>
  </si>
  <si>
    <t>Table3.B(a)s1</t>
  </si>
  <si>
    <t>Sláturlömb</t>
  </si>
  <si>
    <t>Mjólkandi kýr</t>
  </si>
  <si>
    <t>Table3.B(b)</t>
  </si>
  <si>
    <t>Sauðfé alls</t>
  </si>
  <si>
    <t>Aðrir fullorðnir</t>
  </si>
  <si>
    <t>NEX</t>
  </si>
  <si>
    <t>Ungneyti</t>
  </si>
  <si>
    <t>AK2018</t>
  </si>
  <si>
    <t>Metan</t>
  </si>
  <si>
    <t>Tegund</t>
  </si>
  <si>
    <t>Fjöldi</t>
  </si>
  <si>
    <t>Vot</t>
  </si>
  <si>
    <t>Þurr</t>
  </si>
  <si>
    <t>Hagi</t>
  </si>
  <si>
    <t>NEX-umbreytt</t>
  </si>
  <si>
    <t>Hross</t>
  </si>
  <si>
    <t>RVK2019</t>
  </si>
  <si>
    <t>Heildarfjöldi</t>
  </si>
  <si>
    <t>Geymsla</t>
  </si>
  <si>
    <t>Nautgripir alls</t>
  </si>
  <si>
    <t>Svín alls</t>
  </si>
  <si>
    <t/>
  </si>
  <si>
    <t>Geitur</t>
  </si>
  <si>
    <t>Hænur</t>
  </si>
  <si>
    <t>2013 - alls</t>
  </si>
  <si>
    <t>2013 - rvk</t>
  </si>
  <si>
    <t>rvk - hlutfall</t>
  </si>
  <si>
    <t>2019 - alls</t>
  </si>
  <si>
    <t>Losun frá framræstu votlendi</t>
  </si>
  <si>
    <t>Binding í nýlegri skógrækt</t>
  </si>
  <si>
    <t>Aðrir nautgripir</t>
  </si>
  <si>
    <t>Sauðfé</t>
  </si>
  <si>
    <t>Hestar</t>
  </si>
  <si>
    <t>Svín</t>
  </si>
  <si>
    <t>Varphænur</t>
  </si>
  <si>
    <t>Fjöldi RVK</t>
  </si>
  <si>
    <t>NIR</t>
  </si>
  <si>
    <t>Losun (CO2 íg)</t>
  </si>
  <si>
    <t>Losun vegna landnotkunar</t>
  </si>
  <si>
    <t>Losun vegna búfjárræktunar</t>
  </si>
  <si>
    <t>Áætlunar/leiguflug</t>
  </si>
  <si>
    <t>Annað flug</t>
  </si>
  <si>
    <t>Snertilendingar</t>
  </si>
  <si>
    <t>Samtals innanlands</t>
  </si>
  <si>
    <t>Samtals milli landa</t>
  </si>
  <si>
    <t>Reykjavíkurflugvöllur  -  Hreyfingar</t>
  </si>
  <si>
    <t>Aviation gasoline</t>
  </si>
  <si>
    <t>Jet kerosene</t>
  </si>
  <si>
    <t>Biomass</t>
  </si>
  <si>
    <t>NO</t>
  </si>
  <si>
    <t>a.  Domestic aviation</t>
  </si>
  <si>
    <t>IMPLIED EMISSION FACTORS</t>
  </si>
  <si>
    <r>
      <t>CH</t>
    </r>
    <r>
      <rPr>
        <b/>
        <vertAlign val="subscript"/>
        <sz val="9"/>
        <rFont val="Times New Roman"/>
        <family val="1"/>
      </rPr>
      <t>4</t>
    </r>
  </si>
  <si>
    <r>
      <t>N</t>
    </r>
    <r>
      <rPr>
        <b/>
        <vertAlign val="subscript"/>
        <sz val="9"/>
        <rFont val="Times New Roman"/>
        <family val="1"/>
      </rPr>
      <t>2</t>
    </r>
    <r>
      <rPr>
        <b/>
        <sz val="9"/>
        <rFont val="Times New Roman"/>
        <family val="1"/>
      </rPr>
      <t>O</t>
    </r>
  </si>
  <si>
    <t>(t/TJ)</t>
  </si>
  <si>
    <t>(kg/TJ)</t>
  </si>
  <si>
    <t>Energy content</t>
  </si>
  <si>
    <t>(MJ/kg)</t>
  </si>
  <si>
    <t>Emission factor</t>
  </si>
  <si>
    <r>
      <t xml:space="preserve"> CO</t>
    </r>
    <r>
      <rPr>
        <b/>
        <vertAlign val="subscript"/>
        <sz val="9"/>
        <rFont val="Times New Roman"/>
        <family val="1"/>
      </rPr>
      <t>2</t>
    </r>
  </si>
  <si>
    <t>Total</t>
  </si>
  <si>
    <t>(kg/LTO)</t>
  </si>
  <si>
    <t>t CO2-íg</t>
  </si>
  <si>
    <t>LTO</t>
  </si>
  <si>
    <t>kg/LTO</t>
  </si>
  <si>
    <t>Önnur losun</t>
  </si>
  <si>
    <t>Losun vegna kælimiðla innan RVK</t>
  </si>
  <si>
    <t>Losun vegna jarðgerðar</t>
  </si>
  <si>
    <r>
      <t>2021</t>
    </r>
    <r>
      <rPr>
        <b/>
        <i/>
        <sz val="18"/>
        <color rgb="FFFF0000"/>
        <rFont val="Arial"/>
        <family val="2"/>
      </rPr>
      <t xml:space="preserve"> (grófrýnt)</t>
    </r>
  </si>
  <si>
    <t>Fólksbifreiðar, aðrir orkugjafar</t>
  </si>
  <si>
    <t>Bensín / Rafmagn</t>
  </si>
  <si>
    <t>Bensín / Raftengill</t>
  </si>
  <si>
    <t>Dísel / Rafmagn</t>
  </si>
  <si>
    <t>Dísel / Raftengill</t>
  </si>
  <si>
    <t>Bensín / Metan</t>
  </si>
  <si>
    <t>UST stuðlar</t>
  </si>
  <si>
    <t>gCO2/km</t>
  </si>
  <si>
    <t>Leið 1</t>
  </si>
  <si>
    <t>UST 1</t>
  </si>
  <si>
    <t>UST 2</t>
  </si>
  <si>
    <t>Þéttleiki</t>
  </si>
  <si>
    <t>Orkuþéttleiki</t>
  </si>
  <si>
    <t>Vörubifreiðar</t>
  </si>
  <si>
    <t>Hópferðabifreiðar</t>
  </si>
  <si>
    <t>HVDU (Mkm)</t>
  </si>
  <si>
    <t>Vikuumferð (Mkm)</t>
  </si>
  <si>
    <t>Árdagsumferð (Mkm)</t>
  </si>
  <si>
    <t>Innan RVK (Mkm)</t>
  </si>
  <si>
    <t>Ferðir</t>
  </si>
  <si>
    <t>Annað, þmt rafmagn</t>
  </si>
  <si>
    <t>Akstur</t>
  </si>
  <si>
    <t>M km</t>
  </si>
  <si>
    <t>Alifuglar</t>
  </si>
  <si>
    <t>Geltir</t>
  </si>
  <si>
    <t>Kýr</t>
  </si>
  <si>
    <t>Geldneyti</t>
  </si>
  <si>
    <t>Fjöldi dýra</t>
  </si>
  <si>
    <t>Binding vegna skógræktar</t>
  </si>
  <si>
    <t>Landbúnaður og landnotkun</t>
  </si>
  <si>
    <t xml:space="preserve">  Þar af vegna sauðfés</t>
  </si>
  <si>
    <t xml:space="preserve">  Þar af vegna nautgripa</t>
  </si>
  <si>
    <t xml:space="preserve">  Þar af vegna svína</t>
  </si>
  <si>
    <t xml:space="preserve">  Þar af vegna hrossa</t>
  </si>
  <si>
    <t xml:space="preserve">  Þar af vegna geita</t>
  </si>
  <si>
    <t xml:space="preserve">  Þar af vegna hænsna</t>
  </si>
  <si>
    <t>https://www.stjornarradid.is/verkefni/atvinnuvegir/landbunadur/maelabord-landbunadarins-/</t>
  </si>
  <si>
    <t xml:space="preserve">  Þar af vegna fólksbifreiða</t>
  </si>
  <si>
    <t xml:space="preserve">  Þar af vegna hópferðabifreiða</t>
  </si>
  <si>
    <t xml:space="preserve">  Þar af vegna vörubifreiða</t>
  </si>
  <si>
    <t>Fjöldi flughreyfinga</t>
  </si>
  <si>
    <t>https://www.isavia.is/fyrirtaekid/um-isavia/utgefid-efni/flugtolur/flugtolur</t>
  </si>
  <si>
    <t>https://www.faxafloahafnir.is/utstreymisbokhald/</t>
  </si>
  <si>
    <t>https://ssh.is/images/stories/Samgongumal/2017_Greinagerd_Umferdarspa_2030_LOKA.pdf</t>
  </si>
  <si>
    <t>Mannvit - umferðarlíkan</t>
  </si>
  <si>
    <t>Eldsneytisspá</t>
  </si>
  <si>
    <t>Raforkuspá</t>
  </si>
  <si>
    <t>https://www.veitur.is/utgefid-efni/hitaveita</t>
  </si>
  <si>
    <t>https://sorpa.is/um-sorpu/utgefid-efni/arsskyrslur</t>
  </si>
  <si>
    <t>https://www.kalka.is/is/um-fyrirtaekid/stjorn-kolku-sorpeydingarstodvar-sf-2018-2022/fundargerdir/adalfundir</t>
  </si>
  <si>
    <t>Álfsnes</t>
  </si>
  <si>
    <t>Baggar</t>
  </si>
  <si>
    <t>Baggaður úrgangur í Álfsnes</t>
  </si>
  <si>
    <t>Mánuður</t>
  </si>
  <si>
    <t>Magn í tonnum</t>
  </si>
  <si>
    <t>Magn í tonnum (síðasta ár)</t>
  </si>
  <si>
    <t>2017-18</t>
  </si>
  <si>
    <t>2018-19</t>
  </si>
  <si>
    <t>2019-20</t>
  </si>
  <si>
    <t>Magn urðað (tonn)</t>
  </si>
  <si>
    <t>CH4 (tonn)</t>
  </si>
  <si>
    <t>CO2 (tonn)</t>
  </si>
  <si>
    <t>CH4 fangað (tonn)</t>
  </si>
  <si>
    <t>CO2 ígildi (tonn)</t>
  </si>
  <si>
    <t>C/PE (2017)</t>
  </si>
  <si>
    <t>C/PE (2018)</t>
  </si>
  <si>
    <t>Mannfjöldi RVK</t>
  </si>
  <si>
    <t>Mannfjöldi stór RVK</t>
  </si>
  <si>
    <t>Urðað</t>
  </si>
  <si>
    <t xml:space="preserve">  Þar af upprunið í Reykjavík</t>
  </si>
  <si>
    <t>Tímabil</t>
  </si>
  <si>
    <t>Sorphirða sveitarfélög</t>
  </si>
  <si>
    <t>Gámafyrirtæki</t>
  </si>
  <si>
    <t>Önnur fyrirtæki</t>
  </si>
  <si>
    <t>Gámaplön</t>
  </si>
  <si>
    <t>Samtals móttekið (kg)</t>
  </si>
  <si>
    <t>Frákeyrt í urðun</t>
  </si>
  <si>
    <t>Frákeyrt í endurvinnslu</t>
  </si>
  <si>
    <t>Samtals (kg)</t>
  </si>
  <si>
    <t>Magntölur Kölku 2020</t>
  </si>
  <si>
    <t>Búfjárrækt</t>
  </si>
  <si>
    <t>Efnanotkun og iðnaður</t>
  </si>
  <si>
    <t>BASIC</t>
  </si>
  <si>
    <t>BASIC+</t>
  </si>
  <si>
    <t>BASIC+ S3</t>
  </si>
  <si>
    <t>Samtals losun vegna úrgangs</t>
  </si>
  <si>
    <t>Upprunið í RVK</t>
  </si>
  <si>
    <t>kg/t</t>
  </si>
  <si>
    <t>Losun (tonn CO2 íg)</t>
  </si>
  <si>
    <t>Verkaður fiskur</t>
  </si>
  <si>
    <t>Þar af í Reyjavík</t>
  </si>
  <si>
    <t>Reikningar fráveitu breyttir til að vera í samræmi við NIR - fiskvinnsla bætt við</t>
  </si>
  <si>
    <t>Nýtt samgöngulíkan innleitt</t>
  </si>
  <si>
    <t>Nýjir eldsneytisnotkunarstuðlar nýttir - eldsneytisspá</t>
  </si>
  <si>
    <t>Tölur búfjár miða við mælaborð landbúnaðarins</t>
  </si>
  <si>
    <t>Protein consumption (kg/person/y)</t>
  </si>
  <si>
    <t>Heildarmagn</t>
  </si>
  <si>
    <t>TOW (t BOD/y)</t>
  </si>
  <si>
    <t>m3/t</t>
  </si>
  <si>
    <t>kg COD/m3</t>
  </si>
  <si>
    <t>t COD</t>
  </si>
  <si>
    <t>Losun CO2 íg</t>
  </si>
  <si>
    <t>Sludge removed</t>
  </si>
  <si>
    <t>B0</t>
  </si>
  <si>
    <t>kg CH4/kg BOD</t>
  </si>
  <si>
    <t>EF</t>
  </si>
  <si>
    <t>MCF</t>
  </si>
  <si>
    <t>Losun metans vegna dom fráveitu</t>
  </si>
  <si>
    <t>Losun glaðlofts vegna dom fráveitu</t>
  </si>
  <si>
    <t>Losun metans vegna fiskverkunar</t>
  </si>
  <si>
    <t>Losun vegna glaðlofts spítala</t>
  </si>
  <si>
    <t>Gufuframleiðsla spítala</t>
  </si>
  <si>
    <t>Kælimiðlar í fiskveiði dregnir frá</t>
  </si>
  <si>
    <t>Annar iðnaður</t>
  </si>
  <si>
    <t>LPG almenningur</t>
  </si>
  <si>
    <t>LPG commercial, institutional</t>
  </si>
  <si>
    <t>LPG notkun samtals</t>
  </si>
  <si>
    <t>Losun vegna notkunar kósangasa</t>
  </si>
  <si>
    <t>Aerosols í heildina</t>
  </si>
  <si>
    <t>Losun vegna Aerosols</t>
  </si>
  <si>
    <t>ktCO2í</t>
  </si>
  <si>
    <t>Paraffin í heildina</t>
  </si>
  <si>
    <t>Losun vegna Paraffin vax</t>
  </si>
  <si>
    <t>Efni í stað ósóneyðandi efna</t>
  </si>
  <si>
    <t>Glaðloft og gufa frá landspítala</t>
  </si>
  <si>
    <t>Sumolía í heildina</t>
  </si>
  <si>
    <t>Annað (2D3) í heildina</t>
  </si>
  <si>
    <t>Losun vegna smurolíu</t>
  </si>
  <si>
    <t>Losun vegna annað (2D3)</t>
  </si>
  <si>
    <t>Leysiefni og eldsneytistengt (CFR 2D)</t>
  </si>
  <si>
    <t>Magn jarðgert (tonn)</t>
  </si>
  <si>
    <t>sorpagraentbokhald2020undirritad.pdf (dccweb.net)</t>
  </si>
  <si>
    <t>Samtals losun vegna efnanotkunar</t>
  </si>
  <si>
    <t>Samantekt losunar</t>
  </si>
  <si>
    <t>Hafin smíði á íbúðum í RVK</t>
  </si>
  <si>
    <t>Fimm ára meðaltal</t>
  </si>
  <si>
    <t>m2</t>
  </si>
  <si>
    <t>Urðun úrgangs Reykjavíkur</t>
  </si>
  <si>
    <t>Jarðgerð úrgangs Reykjavíkur</t>
  </si>
  <si>
    <t xml:space="preserve">  Upprunið utan RVK</t>
  </si>
  <si>
    <t>Innlend matvælaframleiðsla</t>
  </si>
  <si>
    <t>Losun matvælaframleiðslu í RVK</t>
  </si>
  <si>
    <t xml:space="preserve">  Glaðloft</t>
  </si>
  <si>
    <t>kt CO2e</t>
  </si>
  <si>
    <t xml:space="preserve">Efnanotkun og iðnaður - </t>
  </si>
  <si>
    <t xml:space="preserve">Orkunotkun - </t>
  </si>
  <si>
    <t xml:space="preserve">Samgöngur - </t>
  </si>
  <si>
    <t>Úrgangur -</t>
  </si>
  <si>
    <t>Landbúnaður og landnotkun -</t>
  </si>
  <si>
    <t xml:space="preserve">Samantekt - </t>
  </si>
  <si>
    <t>Losunarflokkur</t>
  </si>
  <si>
    <t>Ár:</t>
  </si>
  <si>
    <t>t CO2-ígilda</t>
  </si>
  <si>
    <t>t CO2 ígilda á íbúa</t>
  </si>
  <si>
    <t>Samtals á íbúa</t>
  </si>
  <si>
    <t>Fyrir graf</t>
  </si>
  <si>
    <t>Undirflokkur</t>
  </si>
  <si>
    <t>Losun vegna dreifitapa</t>
  </si>
  <si>
    <r>
      <t xml:space="preserve"> </t>
    </r>
    <r>
      <rPr>
        <sz val="10"/>
        <color rgb="FF000000"/>
        <rFont val="Arial"/>
        <family val="2"/>
      </rPr>
      <t>Þar af vegna dreifitapa</t>
    </r>
  </si>
  <si>
    <t xml:space="preserve"> Vegna dreifitapa</t>
  </si>
  <si>
    <t>kg tot</t>
  </si>
  <si>
    <t>TJ tot</t>
  </si>
  <si>
    <t>(kg CO2/kg)</t>
  </si>
  <si>
    <t>Landbúnaður og notkun</t>
  </si>
  <si>
    <t>vvi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</si>
</sst>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43" formatCode="_(* #,##0.00_);_(* \(#,##0.00\);_(* &quot;-&quot;??_);_(@_)"/>
    <numFmt numFmtId="164" formatCode="_-* #,##0\ _k_r_._-;\-* #,##0\ _k_r_._-;_-* &quot;-&quot;\ _k_r_._-;_-@_-"/>
    <numFmt numFmtId="165" formatCode="_-* #,##0\ _I_S_K_-;\-* #,##0\ _I_S_K_-;_-* &quot;-&quot;\ _I_S_K_-;_-@_-"/>
    <numFmt numFmtId="166" formatCode="_-* #,##0_-;\-* #,##0_-;_-* &quot;-&quot;_-;_-@_-"/>
    <numFmt numFmtId="167" formatCode="_(* #,##0_);_(* \(#,##0\);_(* &quot;-&quot;??_);_(@_)"/>
    <numFmt numFmtId="168" formatCode="0.0%"/>
    <numFmt numFmtId="169" formatCode="#,##0.0"/>
    <numFmt numFmtId="170" formatCode="0.0"/>
    <numFmt numFmtId="171" formatCode="0.000%"/>
    <numFmt numFmtId="172" formatCode="_(* #,##0.000_);_(* \(#,##0.000\);_(* &quot;-&quot;??_);_(@_)"/>
    <numFmt numFmtId="173" formatCode="#,##0.000"/>
    <numFmt numFmtId="174" formatCode="m/d/yy;@"/>
    <numFmt numFmtId="175" formatCode="#,##0_ ;[Red]\-#,##0\ "/>
    <numFmt numFmtId="176" formatCode="#,##0.0_ ;[Red]\-#,##0.0\ "/>
    <numFmt numFmtId="177" formatCode="0.000"/>
    <numFmt numFmtId="178" formatCode="#,##0,000"/>
    <numFmt numFmtId="179" formatCode="0.00000"/>
    <numFmt numFmtId="180" formatCode="0.0000"/>
    <numFmt numFmtId="181" formatCode="_(* #,##0.00000_);_(* \(#,##0.00000\);_(* &quot;-&quot;??_);_(@_)"/>
    <numFmt numFmtId="182" formatCode="#,##0.0000"/>
    <numFmt numFmtId="183" formatCode="0.0000000"/>
  </numFmts>
  <fonts count="81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rgb="FF000000"/>
      <name val="Calibri"/>
      <family val="2"/>
    </font>
    <font>
      <b/>
      <sz val="9"/>
      <color rgb="FFFFFFFF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8"/>
      <color rgb="FF00394C"/>
      <name val="Calibri"/>
      <family val="2"/>
    </font>
    <font>
      <b/>
      <sz val="9"/>
      <color rgb="FF000000"/>
      <name val="Calibri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9"/>
      <name val="Calibri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rgb="FF000000"/>
      <name val="Arial"/>
      <family val="2"/>
    </font>
    <font>
      <i/>
      <sz val="8"/>
      <color theme="1"/>
      <name val="Arial"/>
      <family val="2"/>
      <scheme val="minor"/>
    </font>
    <font>
      <sz val="13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8.8000000000000007"/>
      <color rgb="FFFFFFFF"/>
      <name val="Arial"/>
      <family val="2"/>
    </font>
    <font>
      <b/>
      <sz val="10"/>
      <name val="Arial"/>
      <family val="2"/>
    </font>
    <font>
      <b/>
      <sz val="8.8000000000000007"/>
      <color rgb="FF303030"/>
      <name val="Arial"/>
      <family val="2"/>
    </font>
    <font>
      <sz val="9.9"/>
      <color rgb="FF303030"/>
      <name val="Georgia"/>
      <family val="1"/>
    </font>
    <font>
      <sz val="11"/>
      <name val="Arial"/>
      <family val="2"/>
    </font>
    <font>
      <sz val="14"/>
      <name val="Arial"/>
      <family val="2"/>
    </font>
    <font>
      <sz val="12"/>
      <color theme="1"/>
      <name val="Arial"/>
      <family val="2"/>
      <scheme val="minor"/>
    </font>
    <font>
      <sz val="12"/>
      <color rgb="FF000000"/>
      <name val="Calibri"/>
      <family val="2"/>
    </font>
    <font>
      <sz val="13.5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10"/>
      <color rgb="FF1F497D"/>
      <name val="Arial"/>
      <family val="2"/>
    </font>
    <font>
      <b/>
      <i/>
      <sz val="10"/>
      <name val="Arial"/>
      <family val="2"/>
    </font>
    <font>
      <vertAlign val="subscript"/>
      <sz val="10"/>
      <name val="Arial"/>
      <family val="2"/>
    </font>
    <font>
      <b/>
      <i/>
      <sz val="10"/>
      <color rgb="FF538DD5"/>
      <name val="Arial"/>
      <family val="2"/>
    </font>
    <font>
      <b/>
      <sz val="20"/>
      <color rgb="FFFF0000"/>
      <name val="Arial"/>
      <family val="2"/>
    </font>
    <font>
      <b/>
      <sz val="11"/>
      <color rgb="FF000000"/>
      <name val="Calibri"/>
      <family val="2"/>
    </font>
    <font>
      <b/>
      <u/>
      <sz val="14"/>
      <color rgb="FF000000"/>
      <name val="Arial"/>
      <family val="2"/>
    </font>
    <font>
      <b/>
      <u/>
      <sz val="12"/>
      <color theme="1"/>
      <name val="Arial"/>
      <family val="2"/>
      <scheme val="minor"/>
    </font>
    <font>
      <sz val="9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vertAlign val="subscript"/>
      <sz val="9"/>
      <name val="Times New Roman"/>
      <family val="1"/>
    </font>
    <font>
      <sz val="10"/>
      <name val="Arial"/>
      <family val="2"/>
    </font>
    <font>
      <i/>
      <sz val="10"/>
      <color theme="3"/>
      <name val="Arial"/>
      <family val="2"/>
    </font>
    <font>
      <b/>
      <i/>
      <sz val="10"/>
      <color theme="3" tint="0.39997558519241921"/>
      <name val="Arial"/>
      <family val="2"/>
    </font>
    <font>
      <b/>
      <i/>
      <sz val="18"/>
      <color rgb="FFFF0000"/>
      <name val="Arial"/>
      <family val="2"/>
    </font>
    <font>
      <sz val="10"/>
      <color rgb="FFFFCC99"/>
      <name val="Arial"/>
      <family val="2"/>
    </font>
    <font>
      <i/>
      <sz val="10"/>
      <color rgb="FFFF0000"/>
      <name val="Arial"/>
      <family val="2"/>
    </font>
    <font>
      <sz val="10"/>
      <color rgb="FFF7FC28"/>
      <name val="Arial"/>
      <family val="2"/>
    </font>
    <font>
      <i/>
      <sz val="10"/>
      <color rgb="FFF7FC28"/>
      <name val="Arial"/>
      <family val="2"/>
    </font>
    <font>
      <b/>
      <sz val="8"/>
      <color rgb="FFFFFFFF"/>
      <name val="Arial"/>
      <family val="2"/>
    </font>
    <font>
      <sz val="9"/>
      <color rgb="FF303030"/>
      <name val="Georgia"/>
      <family val="1"/>
    </font>
    <font>
      <b/>
      <sz val="8"/>
      <color rgb="FF303030"/>
      <name val="Arial"/>
      <family val="2"/>
    </font>
    <font>
      <b/>
      <sz val="14"/>
      <color theme="0"/>
      <name val="Arial"/>
      <family val="2"/>
    </font>
    <font>
      <b/>
      <u/>
      <sz val="18"/>
      <color theme="1"/>
      <name val="Arial"/>
      <family val="2"/>
      <scheme val="minor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Arial"/>
      <family val="2"/>
      <scheme val="minor"/>
    </font>
    <font>
      <sz val="12"/>
      <color rgb="FF000000"/>
      <name val="Arial"/>
      <family val="2"/>
    </font>
    <font>
      <b/>
      <u/>
      <sz val="16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0394C"/>
        <bgColor rgb="FF00394C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2A9FC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8F5EA"/>
        <bgColor indexed="64"/>
      </patternFill>
    </fill>
    <fill>
      <patternFill patternType="solid">
        <fgColor rgb="FFFBF9F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969696"/>
      </patternFill>
    </fill>
    <fill>
      <patternFill patternType="solid">
        <fgColor rgb="FFFFFFFF"/>
      </patternFill>
    </fill>
    <fill>
      <patternFill patternType="solid">
        <fgColor rgb="FF157D9E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4" tint="-0.499984740745262"/>
        <bgColor indexed="64"/>
      </patternFill>
    </fill>
  </fills>
  <borders count="153">
    <border>
      <left/>
      <right/>
      <top/>
      <bottom/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BCBBB5"/>
      </left>
      <right/>
      <top style="medium">
        <color rgb="FFBCBBB5"/>
      </top>
      <bottom/>
      <diagonal/>
    </border>
    <border>
      <left/>
      <right/>
      <top style="medium">
        <color rgb="FFBCBBB5"/>
      </top>
      <bottom/>
      <diagonal/>
    </border>
    <border>
      <left/>
      <right style="medium">
        <color rgb="FFBCBBB5"/>
      </right>
      <top style="medium">
        <color rgb="FFBCBBB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rgb="FFBCBBB5"/>
      </left>
      <right/>
      <top/>
      <bottom style="medium">
        <color rgb="FFDBD9D4"/>
      </bottom>
      <diagonal/>
    </border>
    <border>
      <left/>
      <right/>
      <top/>
      <bottom style="medium">
        <color rgb="FFDBD9D4"/>
      </bottom>
      <diagonal/>
    </border>
    <border>
      <left/>
      <right style="medium">
        <color rgb="FFBCBBB5"/>
      </right>
      <top/>
      <bottom style="medium">
        <color rgb="FFDBD9D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BCBBB5"/>
      </left>
      <right/>
      <top style="medium">
        <color rgb="FFDBD9D4"/>
      </top>
      <bottom/>
      <diagonal/>
    </border>
    <border>
      <left style="medium">
        <color rgb="FFDBD9D4"/>
      </left>
      <right/>
      <top style="medium">
        <color rgb="FFDBD9D4"/>
      </top>
      <bottom/>
      <diagonal/>
    </border>
    <border>
      <left style="medium">
        <color rgb="FFDBD9D4"/>
      </left>
      <right style="medium">
        <color rgb="FFBCBBB5"/>
      </right>
      <top style="medium">
        <color rgb="FFDBD9D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BCBBB5"/>
      </left>
      <right/>
      <top style="medium">
        <color rgb="FFDBD9D4"/>
      </top>
      <bottom style="medium">
        <color rgb="FFDBD9D4"/>
      </bottom>
      <diagonal/>
    </border>
    <border>
      <left/>
      <right/>
      <top style="medium">
        <color rgb="FFDBD9D4"/>
      </top>
      <bottom style="medium">
        <color rgb="FFDBD9D4"/>
      </bottom>
      <diagonal/>
    </border>
    <border>
      <left/>
      <right style="medium">
        <color rgb="FFBCBBB5"/>
      </right>
      <top style="medium">
        <color rgb="FFDBD9D4"/>
      </top>
      <bottom style="medium">
        <color rgb="FFDBD9D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BCBBB5"/>
      </left>
      <right/>
      <top style="medium">
        <color rgb="FFDBD9D4"/>
      </top>
      <bottom style="medium">
        <color rgb="FFBCBBB5"/>
      </bottom>
      <diagonal/>
    </border>
    <border>
      <left style="medium">
        <color rgb="FFDBD9D4"/>
      </left>
      <right/>
      <top style="medium">
        <color rgb="FFDBD9D4"/>
      </top>
      <bottom style="medium">
        <color rgb="FFBCBBB5"/>
      </bottom>
      <diagonal/>
    </border>
    <border>
      <left style="medium">
        <color rgb="FFDBD9D4"/>
      </left>
      <right style="medium">
        <color rgb="FFBCBBB5"/>
      </right>
      <top style="medium">
        <color rgb="FFDBD9D4"/>
      </top>
      <bottom style="medium">
        <color rgb="FFBCBBB5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1">
    <xf numFmtId="0" fontId="0" fillId="0" borderId="0"/>
    <xf numFmtId="166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3" fillId="0" borderId="0"/>
    <xf numFmtId="0" fontId="20" fillId="0" borderId="0" applyNumberFormat="0" applyFill="0" applyBorder="0" applyAlignment="0" applyProtection="0"/>
    <xf numFmtId="174" fontId="19" fillId="0" borderId="0" applyFont="0" applyFill="0" applyBorder="0" applyAlignment="0">
      <alignment wrapText="1"/>
    </xf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42" fillId="0" borderId="0"/>
    <xf numFmtId="0" fontId="56" fillId="0" borderId="0"/>
    <xf numFmtId="0" fontId="34" fillId="0" borderId="0" applyNumberFormat="0" applyFont="0" applyFill="0" applyBorder="0" applyProtection="0">
      <alignment horizontal="left" vertical="center" indent="5"/>
    </xf>
    <xf numFmtId="0" fontId="60" fillId="0" borderId="0"/>
    <xf numFmtId="9" fontId="34" fillId="0" borderId="0" applyFont="0" applyFill="0" applyBorder="0" applyAlignment="0" applyProtection="0"/>
    <xf numFmtId="0" fontId="34" fillId="0" borderId="0"/>
    <xf numFmtId="43" fontId="80" fillId="0" borderId="0" applyFont="0" applyFill="0" applyBorder="0" applyAlignment="0" applyProtection="0"/>
  </cellStyleXfs>
  <cellXfs count="975">
    <xf numFmtId="0" fontId="0" fillId="0" borderId="0" xfId="0" applyFont="1" applyAlignme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horizontal="right" vertical="center"/>
    </xf>
    <xf numFmtId="9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67" fontId="16" fillId="0" borderId="0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167" fontId="16" fillId="7" borderId="0" xfId="0" applyNumberFormat="1" applyFont="1" applyFill="1" applyBorder="1" applyAlignment="1">
      <alignment horizontal="right" vertical="center"/>
    </xf>
    <xf numFmtId="0" fontId="15" fillId="0" borderId="0" xfId="0" applyFont="1" applyAlignment="1"/>
    <xf numFmtId="0" fontId="5" fillId="0" borderId="0" xfId="0" applyFont="1" applyFill="1" applyBorder="1" applyAlignment="1">
      <alignment vertical="center" wrapText="1"/>
    </xf>
    <xf numFmtId="167" fontId="0" fillId="7" borderId="0" xfId="0" applyNumberFormat="1" applyFont="1" applyFill="1" applyAlignment="1">
      <alignment vertical="center"/>
    </xf>
    <xf numFmtId="169" fontId="5" fillId="6" borderId="0" xfId="0" applyNumberFormat="1" applyFont="1" applyFill="1" applyBorder="1" applyAlignment="1">
      <alignment horizontal="right" vertical="center"/>
    </xf>
    <xf numFmtId="169" fontId="7" fillId="7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8" fillId="4" borderId="0" xfId="0" applyFont="1" applyFill="1" applyAlignment="1">
      <alignment vertical="center" wrapText="1"/>
    </xf>
    <xf numFmtId="0" fontId="0" fillId="0" borderId="0" xfId="0" applyFont="1" applyAlignment="1"/>
    <xf numFmtId="1" fontId="0" fillId="0" borderId="0" xfId="0" applyNumberFormat="1" applyFont="1" applyAlignment="1"/>
    <xf numFmtId="0" fontId="0" fillId="0" borderId="0" xfId="0" applyFont="1" applyBorder="1" applyAlignment="1"/>
    <xf numFmtId="3" fontId="0" fillId="0" borderId="0" xfId="0" applyNumberFormat="1" applyFont="1" applyAlignment="1"/>
    <xf numFmtId="1" fontId="4" fillId="0" borderId="0" xfId="3" applyNumberFormat="1" applyBorder="1"/>
    <xf numFmtId="3" fontId="0" fillId="5" borderId="0" xfId="0" applyNumberFormat="1" applyFont="1" applyFill="1" applyAlignment="1"/>
    <xf numFmtId="3" fontId="15" fillId="0" borderId="0" xfId="0" applyNumberFormat="1" applyFont="1" applyAlignment="1"/>
    <xf numFmtId="3" fontId="0" fillId="8" borderId="0" xfId="0" applyNumberFormat="1" applyFont="1" applyFill="1" applyAlignment="1"/>
    <xf numFmtId="3" fontId="0" fillId="0" borderId="0" xfId="0" applyNumberFormat="1" applyFont="1" applyBorder="1" applyAlignment="1"/>
    <xf numFmtId="0" fontId="7" fillId="3" borderId="0" xfId="0" applyFont="1" applyFill="1" applyBorder="1" applyAlignment="1">
      <alignment vertical="center" wrapText="1"/>
    </xf>
    <xf numFmtId="169" fontId="0" fillId="0" borderId="0" xfId="0" applyNumberFormat="1" applyFont="1" applyAlignment="1"/>
    <xf numFmtId="0" fontId="0" fillId="0" borderId="0" xfId="0" applyAlignment="1">
      <alignment wrapText="1"/>
    </xf>
    <xf numFmtId="10" fontId="0" fillId="0" borderId="0" xfId="2" applyNumberFormat="1" applyFont="1" applyAlignment="1"/>
    <xf numFmtId="0" fontId="0" fillId="0" borderId="0" xfId="0" applyFont="1" applyAlignment="1"/>
    <xf numFmtId="0" fontId="0" fillId="0" borderId="0" xfId="0" applyFont="1" applyAlignment="1"/>
    <xf numFmtId="168" fontId="0" fillId="0" borderId="0" xfId="2" applyNumberFormat="1" applyFont="1" applyAlignment="1"/>
    <xf numFmtId="168" fontId="0" fillId="7" borderId="0" xfId="2" applyNumberFormat="1" applyFont="1" applyFill="1" applyAlignment="1">
      <alignment vertical="center"/>
    </xf>
    <xf numFmtId="0" fontId="0" fillId="0" borderId="0" xfId="0"/>
    <xf numFmtId="0" fontId="26" fillId="0" borderId="0" xfId="0" applyFont="1"/>
    <xf numFmtId="0" fontId="0" fillId="5" borderId="0" xfId="0" applyFill="1"/>
    <xf numFmtId="0" fontId="27" fillId="0" borderId="0" xfId="0" applyFont="1"/>
    <xf numFmtId="0" fontId="25" fillId="0" borderId="0" xfId="0" applyFont="1" applyBorder="1" applyAlignment="1">
      <alignment horizontal="center"/>
    </xf>
    <xf numFmtId="0" fontId="0" fillId="0" borderId="7" xfId="0" applyFont="1" applyFill="1" applyBorder="1"/>
    <xf numFmtId="0" fontId="25" fillId="0" borderId="7" xfId="0" applyFont="1" applyBorder="1"/>
    <xf numFmtId="0" fontId="25" fillId="0" borderId="0" xfId="0" applyFont="1" applyBorder="1"/>
    <xf numFmtId="0" fontId="0" fillId="0" borderId="0" xfId="0" applyFont="1" applyFill="1"/>
    <xf numFmtId="0" fontId="28" fillId="0" borderId="8" xfId="0" applyFont="1" applyFill="1" applyBorder="1" applyAlignment="1"/>
    <xf numFmtId="0" fontId="28" fillId="0" borderId="0" xfId="0" applyFont="1" applyFill="1" applyBorder="1" applyAlignment="1"/>
    <xf numFmtId="0" fontId="0" fillId="0" borderId="0" xfId="0" applyFont="1" applyFill="1" applyBorder="1"/>
    <xf numFmtId="170" fontId="0" fillId="0" borderId="0" xfId="0" applyNumberFormat="1" applyFont="1" applyFill="1" applyBorder="1"/>
    <xf numFmtId="1" fontId="0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169" fontId="0" fillId="0" borderId="0" xfId="0" applyNumberFormat="1" applyFont="1" applyFill="1" applyBorder="1" applyAlignment="1"/>
    <xf numFmtId="170" fontId="0" fillId="0" borderId="0" xfId="0" applyNumberFormat="1" applyFont="1" applyFill="1" applyBorder="1" applyAlignment="1"/>
    <xf numFmtId="3" fontId="28" fillId="0" borderId="0" xfId="0" applyNumberFormat="1" applyFont="1" applyFill="1" applyBorder="1"/>
    <xf numFmtId="0" fontId="28" fillId="0" borderId="0" xfId="0" applyFont="1" applyFill="1" applyBorder="1"/>
    <xf numFmtId="0" fontId="0" fillId="0" borderId="0" xfId="0" applyFill="1"/>
    <xf numFmtId="0" fontId="29" fillId="0" borderId="0" xfId="0" applyFont="1" applyFill="1" applyBorder="1"/>
    <xf numFmtId="0" fontId="27" fillId="0" borderId="0" xfId="0" applyFont="1" applyFill="1"/>
    <xf numFmtId="0" fontId="25" fillId="0" borderId="7" xfId="0" applyFont="1" applyFill="1" applyBorder="1"/>
    <xf numFmtId="169" fontId="23" fillId="0" borderId="0" xfId="0" applyNumberFormat="1" applyFont="1" applyFill="1" applyBorder="1"/>
    <xf numFmtId="169" fontId="15" fillId="0" borderId="0" xfId="0" applyNumberFormat="1" applyFont="1" applyFill="1" applyBorder="1"/>
    <xf numFmtId="169" fontId="15" fillId="0" borderId="0" xfId="0" applyNumberFormat="1" applyFont="1" applyFill="1" applyBorder="1" applyAlignment="1"/>
    <xf numFmtId="1" fontId="0" fillId="0" borderId="0" xfId="0" applyNumberFormat="1"/>
    <xf numFmtId="170" fontId="0" fillId="0" borderId="0" xfId="0" applyNumberFormat="1"/>
    <xf numFmtId="0" fontId="25" fillId="0" borderId="0" xfId="0" applyFont="1"/>
    <xf numFmtId="169" fontId="0" fillId="7" borderId="0" xfId="0" applyNumberFormat="1" applyFont="1" applyFill="1" applyAlignment="1">
      <alignment vertical="center"/>
    </xf>
    <xf numFmtId="3" fontId="31" fillId="0" borderId="0" xfId="0" applyNumberFormat="1" applyFont="1" applyAlignment="1"/>
    <xf numFmtId="0" fontId="31" fillId="0" borderId="0" xfId="0" applyFont="1" applyAlignment="1"/>
    <xf numFmtId="3" fontId="0" fillId="7" borderId="0" xfId="0" applyNumberFormat="1" applyFont="1" applyFill="1" applyAlignment="1">
      <alignment vertical="center"/>
    </xf>
    <xf numFmtId="0" fontId="25" fillId="0" borderId="9" xfId="0" applyFont="1" applyBorder="1"/>
    <xf numFmtId="0" fontId="25" fillId="0" borderId="10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0" fillId="0" borderId="13" xfId="0" applyBorder="1"/>
    <xf numFmtId="0" fontId="25" fillId="0" borderId="14" xfId="0" applyFont="1" applyFill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0" fillId="0" borderId="17" xfId="0" applyFon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21" xfId="0" applyFon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0" fontId="0" fillId="0" borderId="25" xfId="0" applyFon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0" fontId="25" fillId="0" borderId="29" xfId="0" applyFont="1" applyBorder="1"/>
    <xf numFmtId="175" fontId="25" fillId="0" borderId="30" xfId="0" applyNumberFormat="1" applyFont="1" applyBorder="1"/>
    <xf numFmtId="175" fontId="25" fillId="0" borderId="31" xfId="0" applyNumberFormat="1" applyFont="1" applyBorder="1"/>
    <xf numFmtId="175" fontId="25" fillId="0" borderId="32" xfId="0" applyNumberFormat="1" applyFont="1" applyBorder="1"/>
    <xf numFmtId="0" fontId="0" fillId="0" borderId="33" xfId="0" applyFont="1" applyFill="1" applyBorder="1"/>
    <xf numFmtId="175" fontId="25" fillId="0" borderId="0" xfId="0" applyNumberFormat="1" applyFont="1" applyBorder="1"/>
    <xf numFmtId="0" fontId="0" fillId="0" borderId="0" xfId="0" applyFont="1" applyBorder="1"/>
    <xf numFmtId="173" fontId="0" fillId="0" borderId="0" xfId="0" applyNumberFormat="1" applyBorder="1"/>
    <xf numFmtId="0" fontId="25" fillId="0" borderId="0" xfId="0" applyFont="1" applyFill="1" applyBorder="1"/>
    <xf numFmtId="3" fontId="0" fillId="0" borderId="0" xfId="0" applyNumberFormat="1"/>
    <xf numFmtId="0" fontId="0" fillId="0" borderId="34" xfId="0" applyFont="1" applyBorder="1"/>
    <xf numFmtId="176" fontId="0" fillId="0" borderId="35" xfId="0" applyNumberFormat="1" applyBorder="1"/>
    <xf numFmtId="176" fontId="0" fillId="0" borderId="36" xfId="0" applyNumberFormat="1" applyBorder="1"/>
    <xf numFmtId="176" fontId="0" fillId="0" borderId="37" xfId="0" applyNumberFormat="1" applyBorder="1"/>
    <xf numFmtId="175" fontId="0" fillId="0" borderId="0" xfId="0" applyNumberFormat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2" fontId="0" fillId="0" borderId="0" xfId="0" applyNumberFormat="1"/>
    <xf numFmtId="3" fontId="0" fillId="0" borderId="0" xfId="0" applyNumberFormat="1" applyBorder="1"/>
    <xf numFmtId="0" fontId="15" fillId="0" borderId="7" xfId="0" applyFont="1" applyFill="1" applyBorder="1"/>
    <xf numFmtId="177" fontId="0" fillId="0" borderId="0" xfId="0" applyNumberFormat="1"/>
    <xf numFmtId="0" fontId="32" fillId="0" borderId="0" xfId="0" applyFont="1" applyFill="1" applyBorder="1"/>
    <xf numFmtId="0" fontId="15" fillId="0" borderId="0" xfId="0" applyFont="1" applyFill="1" applyBorder="1"/>
    <xf numFmtId="0" fontId="15" fillId="0" borderId="0" xfId="0" applyFont="1" applyFill="1" applyBorder="1" applyAlignment="1"/>
    <xf numFmtId="3" fontId="12" fillId="0" borderId="0" xfId="0" applyNumberFormat="1" applyFont="1" applyAlignment="1"/>
    <xf numFmtId="0" fontId="15" fillId="0" borderId="0" xfId="0" applyFont="1"/>
    <xf numFmtId="0" fontId="34" fillId="9" borderId="46" xfId="0" applyFont="1" applyFill="1" applyBorder="1" applyAlignment="1">
      <alignment horizontal="center" textRotation="90" wrapText="1"/>
    </xf>
    <xf numFmtId="0" fontId="34" fillId="9" borderId="47" xfId="0" applyFont="1" applyFill="1" applyBorder="1" applyAlignment="1">
      <alignment horizontal="center" textRotation="90" wrapText="1"/>
    </xf>
    <xf numFmtId="0" fontId="34" fillId="9" borderId="48" xfId="0" applyFont="1" applyFill="1" applyBorder="1" applyAlignment="1">
      <alignment horizontal="center" textRotation="90" wrapText="1"/>
    </xf>
    <xf numFmtId="9" fontId="34" fillId="9" borderId="49" xfId="4" applyFont="1" applyFill="1" applyBorder="1" applyAlignment="1">
      <alignment horizontal="center" textRotation="90" wrapText="1"/>
    </xf>
    <xf numFmtId="0" fontId="34" fillId="9" borderId="56" xfId="0" applyFont="1" applyFill="1" applyBorder="1" applyAlignment="1">
      <alignment horizontal="center" textRotation="90" wrapText="1"/>
    </xf>
    <xf numFmtId="0" fontId="34" fillId="9" borderId="57" xfId="0" applyFont="1" applyFill="1" applyBorder="1" applyAlignment="1">
      <alignment horizontal="center" textRotation="90" wrapText="1"/>
    </xf>
    <xf numFmtId="0" fontId="34" fillId="9" borderId="58" xfId="0" applyFont="1" applyFill="1" applyBorder="1" applyAlignment="1">
      <alignment horizontal="center" textRotation="90" wrapText="1"/>
    </xf>
    <xf numFmtId="9" fontId="34" fillId="9" borderId="49" xfId="4" applyFont="1" applyFill="1" applyBorder="1" applyAlignment="1">
      <alignment horizontal="center" vertical="center" wrapText="1"/>
    </xf>
    <xf numFmtId="0" fontId="35" fillId="9" borderId="59" xfId="0" applyFont="1" applyFill="1" applyBorder="1" applyAlignment="1">
      <alignment horizontal="center"/>
    </xf>
    <xf numFmtId="0" fontId="35" fillId="9" borderId="6" xfId="0" applyFont="1" applyFill="1" applyBorder="1" applyAlignment="1">
      <alignment horizontal="center"/>
    </xf>
    <xf numFmtId="0" fontId="35" fillId="9" borderId="55" xfId="0" applyFont="1" applyFill="1" applyBorder="1" applyAlignment="1">
      <alignment horizontal="center"/>
    </xf>
    <xf numFmtId="0" fontId="36" fillId="10" borderId="60" xfId="0" applyFont="1" applyFill="1" applyBorder="1" applyAlignment="1">
      <alignment horizontal="left" vertical="center" wrapText="1" indent="1"/>
    </xf>
    <xf numFmtId="0" fontId="36" fillId="10" borderId="61" xfId="0" applyFont="1" applyFill="1" applyBorder="1" applyAlignment="1">
      <alignment horizontal="left" vertical="center" wrapText="1" indent="1"/>
    </xf>
    <xf numFmtId="0" fontId="36" fillId="10" borderId="62" xfId="0" applyFont="1" applyFill="1" applyBorder="1" applyAlignment="1">
      <alignment horizontal="left" vertical="center" wrapText="1" indent="1"/>
    </xf>
    <xf numFmtId="0" fontId="37" fillId="11" borderId="63" xfId="0" applyFont="1" applyFill="1" applyBorder="1" applyAlignment="1">
      <alignment horizontal="left"/>
    </xf>
    <xf numFmtId="0" fontId="37" fillId="11" borderId="64" xfId="0" applyFont="1" applyFill="1" applyBorder="1" applyAlignment="1">
      <alignment horizontal="left"/>
    </xf>
    <xf numFmtId="2" fontId="37" fillId="9" borderId="65" xfId="0" applyNumberFormat="1" applyFont="1" applyFill="1" applyBorder="1" applyAlignment="1">
      <alignment horizontal="right"/>
    </xf>
    <xf numFmtId="2" fontId="37" fillId="9" borderId="0" xfId="0" applyNumberFormat="1" applyFont="1" applyFill="1" applyBorder="1" applyAlignment="1">
      <alignment horizontal="right"/>
    </xf>
    <xf numFmtId="2" fontId="37" fillId="9" borderId="66" xfId="0" applyNumberFormat="1" applyFont="1" applyFill="1" applyBorder="1" applyAlignment="1">
      <alignment horizontal="right"/>
    </xf>
    <xf numFmtId="2" fontId="37" fillId="9" borderId="67" xfId="4" applyNumberFormat="1" applyFont="1" applyFill="1" applyBorder="1" applyAlignment="1">
      <alignment horizontal="center" vertical="center" wrapText="1"/>
    </xf>
    <xf numFmtId="0" fontId="34" fillId="9" borderId="25" xfId="0" applyFont="1" applyFill="1" applyBorder="1"/>
    <xf numFmtId="0" fontId="37" fillId="9" borderId="46" xfId="0" applyFont="1" applyFill="1" applyBorder="1" applyAlignment="1">
      <alignment horizontal="center"/>
    </xf>
    <xf numFmtId="0" fontId="37" fillId="9" borderId="52" xfId="0" applyFont="1" applyFill="1" applyBorder="1" applyAlignment="1">
      <alignment horizontal="center"/>
    </xf>
    <xf numFmtId="0" fontId="37" fillId="9" borderId="48" xfId="0" applyFont="1" applyFill="1" applyBorder="1" applyAlignment="1">
      <alignment horizontal="center"/>
    </xf>
    <xf numFmtId="9" fontId="34" fillId="9" borderId="49" xfId="4" applyFont="1" applyFill="1" applyBorder="1" applyAlignment="1">
      <alignment horizontal="center" wrapText="1"/>
    </xf>
    <xf numFmtId="9" fontId="34" fillId="9" borderId="54" xfId="4" applyFont="1" applyFill="1" applyBorder="1" applyAlignment="1">
      <alignment horizontal="center" wrapText="1"/>
    </xf>
    <xf numFmtId="0" fontId="34" fillId="9" borderId="73" xfId="0" applyFont="1" applyFill="1" applyBorder="1"/>
    <xf numFmtId="0" fontId="39" fillId="13" borderId="76" xfId="0" applyFont="1" applyFill="1" applyBorder="1" applyAlignment="1">
      <alignment horizontal="left" vertical="top" wrapText="1" indent="1"/>
    </xf>
    <xf numFmtId="3" fontId="39" fillId="13" borderId="77" xfId="0" applyNumberFormat="1" applyFont="1" applyFill="1" applyBorder="1" applyAlignment="1">
      <alignment horizontal="left" vertical="top" wrapText="1" indent="1"/>
    </xf>
    <xf numFmtId="9" fontId="39" fillId="13" borderId="77" xfId="0" applyNumberFormat="1" applyFont="1" applyFill="1" applyBorder="1" applyAlignment="1">
      <alignment horizontal="left" vertical="top" wrapText="1" indent="1"/>
    </xf>
    <xf numFmtId="0" fontId="39" fillId="13" borderId="77" xfId="0" applyFont="1" applyFill="1" applyBorder="1" applyAlignment="1">
      <alignment horizontal="left" vertical="top" wrapText="1" indent="1"/>
    </xf>
    <xf numFmtId="3" fontId="39" fillId="13" borderId="78" xfId="0" applyNumberFormat="1" applyFont="1" applyFill="1" applyBorder="1" applyAlignment="1">
      <alignment horizontal="left" vertical="top" wrapText="1" indent="1"/>
    </xf>
    <xf numFmtId="10" fontId="0" fillId="0" borderId="0" xfId="2" applyNumberFormat="1" applyFont="1"/>
    <xf numFmtId="165" fontId="0" fillId="0" borderId="0" xfId="13" applyFont="1"/>
    <xf numFmtId="168" fontId="0" fillId="0" borderId="0" xfId="2" applyNumberFormat="1" applyFont="1"/>
    <xf numFmtId="0" fontId="37" fillId="11" borderId="79" xfId="0" applyFont="1" applyFill="1" applyBorder="1" applyAlignment="1">
      <alignment horizontal="center"/>
    </xf>
    <xf numFmtId="0" fontId="37" fillId="11" borderId="5" xfId="0" applyFont="1" applyFill="1" applyBorder="1" applyAlignment="1">
      <alignment horizontal="center"/>
    </xf>
    <xf numFmtId="0" fontId="34" fillId="9" borderId="81" xfId="0" applyFont="1" applyFill="1" applyBorder="1" applyAlignment="1">
      <alignment horizontal="center"/>
    </xf>
    <xf numFmtId="0" fontId="34" fillId="9" borderId="80" xfId="0" applyFont="1" applyFill="1" applyBorder="1" applyAlignment="1">
      <alignment horizontal="center"/>
    </xf>
    <xf numFmtId="0" fontId="34" fillId="9" borderId="13" xfId="0" applyFont="1" applyFill="1" applyBorder="1"/>
    <xf numFmtId="0" fontId="37" fillId="9" borderId="82" xfId="0" applyFont="1" applyFill="1" applyBorder="1" applyAlignment="1">
      <alignment horizontal="right"/>
    </xf>
    <xf numFmtId="0" fontId="37" fillId="9" borderId="15" xfId="0" applyFont="1" applyFill="1" applyBorder="1" applyAlignment="1">
      <alignment horizontal="right"/>
    </xf>
    <xf numFmtId="0" fontId="37" fillId="9" borderId="83" xfId="0" applyFont="1" applyFill="1" applyBorder="1" applyAlignment="1">
      <alignment horizontal="right"/>
    </xf>
    <xf numFmtId="0" fontId="34" fillId="9" borderId="84" xfId="0" applyFont="1" applyFill="1" applyBorder="1" applyAlignment="1">
      <alignment horizontal="center"/>
    </xf>
    <xf numFmtId="9" fontId="34" fillId="9" borderId="3" xfId="4" applyFont="1" applyFill="1" applyBorder="1" applyAlignment="1">
      <alignment horizontal="center" wrapText="1"/>
    </xf>
    <xf numFmtId="0" fontId="39" fillId="12" borderId="76" xfId="0" applyFont="1" applyFill="1" applyBorder="1" applyAlignment="1">
      <alignment horizontal="left" vertical="top" wrapText="1" indent="1"/>
    </xf>
    <xf numFmtId="0" fontId="39" fillId="12" borderId="77" xfId="0" applyFont="1" applyFill="1" applyBorder="1" applyAlignment="1">
      <alignment horizontal="left" vertical="top" wrapText="1" indent="1"/>
    </xf>
    <xf numFmtId="9" fontId="39" fillId="12" borderId="77" xfId="0" applyNumberFormat="1" applyFont="1" applyFill="1" applyBorder="1" applyAlignment="1">
      <alignment horizontal="left" vertical="top" wrapText="1" indent="1"/>
    </xf>
    <xf numFmtId="3" fontId="39" fillId="12" borderId="78" xfId="0" applyNumberFormat="1" applyFont="1" applyFill="1" applyBorder="1" applyAlignment="1">
      <alignment horizontal="left" vertical="top" wrapText="1" indent="1"/>
    </xf>
    <xf numFmtId="0" fontId="34" fillId="0" borderId="86" xfId="0" applyNumberFormat="1" applyFont="1" applyFill="1" applyBorder="1"/>
    <xf numFmtId="3" fontId="34" fillId="9" borderId="87" xfId="0" applyNumberFormat="1" applyFont="1" applyFill="1" applyBorder="1"/>
    <xf numFmtId="3" fontId="34" fillId="9" borderId="88" xfId="0" applyNumberFormat="1" applyFont="1" applyFill="1" applyBorder="1"/>
    <xf numFmtId="3" fontId="34" fillId="9" borderId="86" xfId="0" applyNumberFormat="1" applyFont="1" applyFill="1" applyBorder="1"/>
    <xf numFmtId="3" fontId="34" fillId="9" borderId="89" xfId="0" applyNumberFormat="1" applyFont="1" applyFill="1" applyBorder="1"/>
    <xf numFmtId="3" fontId="34" fillId="9" borderId="90" xfId="0" applyNumberFormat="1" applyFont="1" applyFill="1" applyBorder="1"/>
    <xf numFmtId="0" fontId="34" fillId="9" borderId="25" xfId="0" applyFont="1" applyFill="1" applyBorder="1" applyAlignment="1">
      <alignment horizontal="left"/>
    </xf>
    <xf numFmtId="0" fontId="34" fillId="9" borderId="0" xfId="0" applyFont="1" applyFill="1" applyBorder="1" applyAlignment="1">
      <alignment horizontal="center"/>
    </xf>
    <xf numFmtId="178" fontId="34" fillId="9" borderId="0" xfId="0" applyNumberFormat="1" applyFont="1" applyFill="1" applyBorder="1" applyAlignment="1"/>
    <xf numFmtId="3" fontId="34" fillId="9" borderId="45" xfId="0" applyNumberFormat="1" applyFont="1" applyFill="1" applyBorder="1" applyAlignment="1"/>
    <xf numFmtId="10" fontId="0" fillId="0" borderId="0" xfId="0" applyNumberFormat="1"/>
    <xf numFmtId="0" fontId="34" fillId="0" borderId="91" xfId="0" applyNumberFormat="1" applyFont="1" applyFill="1" applyBorder="1"/>
    <xf numFmtId="3" fontId="34" fillId="9" borderId="92" xfId="0" applyNumberFormat="1" applyFont="1" applyFill="1" applyBorder="1"/>
    <xf numFmtId="3" fontId="34" fillId="9" borderId="93" xfId="0" applyNumberFormat="1" applyFont="1" applyFill="1" applyBorder="1"/>
    <xf numFmtId="3" fontId="34" fillId="9" borderId="91" xfId="0" applyNumberFormat="1" applyFont="1" applyFill="1" applyBorder="1"/>
    <xf numFmtId="3" fontId="34" fillId="9" borderId="94" xfId="0" applyNumberFormat="1" applyFont="1" applyFill="1" applyBorder="1"/>
    <xf numFmtId="3" fontId="34" fillId="9" borderId="95" xfId="0" applyNumberFormat="1" applyFont="1" applyFill="1" applyBorder="1"/>
    <xf numFmtId="168" fontId="37" fillId="9" borderId="0" xfId="4" applyNumberFormat="1" applyFont="1" applyFill="1" applyBorder="1" applyAlignment="1">
      <alignment horizontal="right"/>
    </xf>
    <xf numFmtId="0" fontId="34" fillId="9" borderId="45" xfId="0" applyFont="1" applyFill="1" applyBorder="1" applyAlignment="1">
      <alignment horizontal="center"/>
    </xf>
    <xf numFmtId="3" fontId="39" fillId="12" borderId="77" xfId="0" applyNumberFormat="1" applyFont="1" applyFill="1" applyBorder="1" applyAlignment="1">
      <alignment horizontal="left" vertical="top" wrapText="1" indent="1"/>
    </xf>
    <xf numFmtId="0" fontId="34" fillId="9" borderId="25" xfId="0" applyFont="1" applyFill="1" applyBorder="1" applyAlignment="1">
      <alignment horizontal="center"/>
    </xf>
    <xf numFmtId="0" fontId="39" fillId="13" borderId="78" xfId="0" applyFont="1" applyFill="1" applyBorder="1" applyAlignment="1">
      <alignment horizontal="left" vertical="top" wrapText="1" indent="1"/>
    </xf>
    <xf numFmtId="0" fontId="39" fillId="12" borderId="78" xfId="0" applyFont="1" applyFill="1" applyBorder="1" applyAlignment="1">
      <alignment horizontal="left" vertical="top" wrapText="1" indent="1"/>
    </xf>
    <xf numFmtId="168" fontId="0" fillId="0" borderId="0" xfId="0" applyNumberFormat="1"/>
    <xf numFmtId="0" fontId="34" fillId="9" borderId="0" xfId="0" applyFont="1" applyFill="1" applyBorder="1"/>
    <xf numFmtId="0" fontId="34" fillId="9" borderId="45" xfId="0" applyFont="1" applyFill="1" applyBorder="1"/>
    <xf numFmtId="0" fontId="34" fillId="0" borderId="99" xfId="0" applyNumberFormat="1" applyFont="1" applyFill="1" applyBorder="1"/>
    <xf numFmtId="3" fontId="34" fillId="9" borderId="100" xfId="0" applyNumberFormat="1" applyFont="1" applyFill="1" applyBorder="1"/>
    <xf numFmtId="3" fontId="34" fillId="9" borderId="101" xfId="0" applyNumberFormat="1" applyFont="1" applyFill="1" applyBorder="1"/>
    <xf numFmtId="3" fontId="34" fillId="9" borderId="102" xfId="0" applyNumberFormat="1" applyFont="1" applyFill="1" applyBorder="1"/>
    <xf numFmtId="3" fontId="34" fillId="9" borderId="103" xfId="0" applyNumberFormat="1" applyFont="1" applyFill="1" applyBorder="1"/>
    <xf numFmtId="0" fontId="34" fillId="14" borderId="104" xfId="0" applyNumberFormat="1" applyFont="1" applyFill="1" applyBorder="1"/>
    <xf numFmtId="0" fontId="34" fillId="14" borderId="105" xfId="0" applyNumberFormat="1" applyFont="1" applyFill="1" applyBorder="1"/>
    <xf numFmtId="3" fontId="34" fillId="14" borderId="31" xfId="0" applyNumberFormat="1" applyFont="1" applyFill="1" applyBorder="1" applyAlignment="1">
      <alignment vertical="center"/>
    </xf>
    <xf numFmtId="3" fontId="34" fillId="14" borderId="106" xfId="0" applyNumberFormat="1" applyFont="1" applyFill="1" applyBorder="1" applyAlignment="1">
      <alignment vertical="center"/>
    </xf>
    <xf numFmtId="3" fontId="34" fillId="9" borderId="13" xfId="0" applyNumberFormat="1" applyFont="1" applyFill="1" applyBorder="1"/>
    <xf numFmtId="0" fontId="34" fillId="9" borderId="38" xfId="0" applyFont="1" applyFill="1" applyBorder="1"/>
    <xf numFmtId="0" fontId="34" fillId="9" borderId="75" xfId="0" applyFont="1" applyFill="1" applyBorder="1"/>
    <xf numFmtId="0" fontId="34" fillId="0" borderId="107" xfId="0" applyNumberFormat="1" applyFont="1" applyFill="1" applyBorder="1"/>
    <xf numFmtId="168" fontId="34" fillId="9" borderId="108" xfId="4" applyNumberFormat="1" applyFont="1" applyFill="1" applyBorder="1"/>
    <xf numFmtId="168" fontId="34" fillId="9" borderId="107" xfId="4" applyNumberFormat="1" applyFont="1" applyFill="1" applyBorder="1"/>
    <xf numFmtId="168" fontId="34" fillId="9" borderId="90" xfId="4" applyNumberFormat="1" applyFont="1" applyFill="1" applyBorder="1"/>
    <xf numFmtId="168" fontId="34" fillId="9" borderId="109" xfId="4" applyNumberFormat="1" applyFont="1" applyFill="1" applyBorder="1"/>
    <xf numFmtId="168" fontId="34" fillId="9" borderId="110" xfId="4" applyNumberFormat="1" applyFont="1" applyFill="1" applyBorder="1"/>
    <xf numFmtId="168" fontId="34" fillId="9" borderId="111" xfId="4" applyNumberFormat="1" applyFont="1" applyFill="1" applyBorder="1"/>
    <xf numFmtId="168" fontId="34" fillId="9" borderId="91" xfId="4" applyNumberFormat="1" applyFont="1" applyFill="1" applyBorder="1"/>
    <xf numFmtId="168" fontId="34" fillId="9" borderId="95" xfId="4" applyNumberFormat="1" applyFont="1" applyFill="1" applyBorder="1"/>
    <xf numFmtId="168" fontId="34" fillId="9" borderId="94" xfId="4" applyNumberFormat="1" applyFont="1" applyFill="1" applyBorder="1"/>
    <xf numFmtId="168" fontId="34" fillId="9" borderId="112" xfId="4" applyNumberFormat="1" applyFont="1" applyFill="1" applyBorder="1"/>
    <xf numFmtId="0" fontId="39" fillId="12" borderId="113" xfId="0" applyFont="1" applyFill="1" applyBorder="1" applyAlignment="1">
      <alignment horizontal="left" vertical="top" wrapText="1" indent="1"/>
    </xf>
    <xf numFmtId="3" fontId="39" fillId="12" borderId="114" xfId="0" applyNumberFormat="1" applyFont="1" applyFill="1" applyBorder="1" applyAlignment="1">
      <alignment horizontal="left" vertical="top" wrapText="1" indent="1"/>
    </xf>
    <xf numFmtId="9" fontId="39" fillId="12" borderId="114" xfId="0" applyNumberFormat="1" applyFont="1" applyFill="1" applyBorder="1" applyAlignment="1">
      <alignment horizontal="left" vertical="top" wrapText="1" indent="1"/>
    </xf>
    <xf numFmtId="0" fontId="39" fillId="12" borderId="114" xfId="0" applyFont="1" applyFill="1" applyBorder="1" applyAlignment="1">
      <alignment horizontal="left" vertical="top" wrapText="1" indent="1"/>
    </xf>
    <xf numFmtId="3" fontId="39" fillId="12" borderId="115" xfId="0" applyNumberFormat="1" applyFont="1" applyFill="1" applyBorder="1" applyAlignment="1">
      <alignment horizontal="left" vertical="top" wrapText="1" indent="1"/>
    </xf>
    <xf numFmtId="171" fontId="0" fillId="0" borderId="0" xfId="2" applyNumberFormat="1" applyFont="1"/>
    <xf numFmtId="0" fontId="34" fillId="11" borderId="91" xfId="0" applyNumberFormat="1" applyFont="1" applyFill="1" applyBorder="1"/>
    <xf numFmtId="0" fontId="34" fillId="0" borderId="116" xfId="0" applyNumberFormat="1" applyFont="1" applyFill="1" applyBorder="1"/>
    <xf numFmtId="168" fontId="34" fillId="9" borderId="117" xfId="4" applyNumberFormat="1" applyFont="1" applyFill="1" applyBorder="1"/>
    <xf numFmtId="168" fontId="34" fillId="9" borderId="118" xfId="4" applyNumberFormat="1" applyFont="1" applyFill="1" applyBorder="1"/>
    <xf numFmtId="168" fontId="34" fillId="9" borderId="119" xfId="4" applyNumberFormat="1" applyFont="1" applyFill="1" applyBorder="1"/>
    <xf numFmtId="168" fontId="34" fillId="9" borderId="120" xfId="4" applyNumberFormat="1" applyFont="1" applyFill="1" applyBorder="1"/>
    <xf numFmtId="168" fontId="34" fillId="9" borderId="121" xfId="4" applyNumberFormat="1" applyFont="1" applyFill="1" applyBorder="1"/>
    <xf numFmtId="1" fontId="43" fillId="15" borderId="122" xfId="14" applyNumberFormat="1" applyFont="1" applyFill="1" applyBorder="1" applyAlignment="1" applyProtection="1">
      <alignment horizontal="center" vertical="center"/>
    </xf>
    <xf numFmtId="0" fontId="34" fillId="14" borderId="104" xfId="0" applyNumberFormat="1" applyFont="1" applyFill="1" applyBorder="1" applyAlignment="1">
      <alignment vertical="center"/>
    </xf>
    <xf numFmtId="0" fontId="34" fillId="14" borderId="105" xfId="0" applyNumberFormat="1" applyFont="1" applyFill="1" applyBorder="1" applyAlignment="1">
      <alignment vertical="center"/>
    </xf>
    <xf numFmtId="168" fontId="34" fillId="14" borderId="105" xfId="4" applyNumberFormat="1" applyFont="1" applyFill="1" applyBorder="1" applyAlignment="1">
      <alignment vertical="center"/>
    </xf>
    <xf numFmtId="168" fontId="34" fillId="14" borderId="106" xfId="4" applyNumberFormat="1" applyFont="1" applyFill="1" applyBorder="1" applyAlignment="1">
      <alignment vertical="center"/>
    </xf>
    <xf numFmtId="168" fontId="34" fillId="14" borderId="124" xfId="4" applyNumberFormat="1" applyFont="1" applyFill="1" applyBorder="1" applyAlignment="1">
      <alignment vertical="center"/>
    </xf>
    <xf numFmtId="0" fontId="20" fillId="0" borderId="0" xfId="6"/>
    <xf numFmtId="0" fontId="4" fillId="0" borderId="0" xfId="3"/>
    <xf numFmtId="0" fontId="34" fillId="0" borderId="119" xfId="0" applyNumberFormat="1" applyFont="1" applyFill="1" applyBorder="1"/>
    <xf numFmtId="168" fontId="34" fillId="9" borderId="126" xfId="4" applyNumberFormat="1" applyFont="1" applyFill="1" applyBorder="1"/>
    <xf numFmtId="168" fontId="34" fillId="9" borderId="102" xfId="4" applyNumberFormat="1" applyFont="1" applyFill="1" applyBorder="1"/>
    <xf numFmtId="168" fontId="34" fillId="9" borderId="116" xfId="4" applyNumberFormat="1" applyFont="1" applyFill="1" applyBorder="1"/>
    <xf numFmtId="168" fontId="34" fillId="9" borderId="127" xfId="4" applyNumberFormat="1" applyFont="1" applyFill="1" applyBorder="1"/>
    <xf numFmtId="0" fontId="34" fillId="0" borderId="102" xfId="0" applyNumberFormat="1" applyFont="1" applyFill="1" applyBorder="1"/>
    <xf numFmtId="9" fontId="0" fillId="0" borderId="0" xfId="0" applyNumberFormat="1"/>
    <xf numFmtId="0" fontId="34" fillId="0" borderId="128" xfId="0" applyNumberFormat="1" applyFont="1" applyFill="1" applyBorder="1"/>
    <xf numFmtId="168" fontId="34" fillId="9" borderId="129" xfId="4" applyNumberFormat="1" applyFont="1" applyFill="1" applyBorder="1"/>
    <xf numFmtId="168" fontId="34" fillId="9" borderId="86" xfId="4" applyNumberFormat="1" applyFont="1" applyFill="1" applyBorder="1"/>
    <xf numFmtId="168" fontId="34" fillId="9" borderId="130" xfId="4" applyNumberFormat="1" applyFont="1" applyFill="1" applyBorder="1"/>
    <xf numFmtId="168" fontId="34" fillId="9" borderId="131" xfId="4" applyNumberFormat="1" applyFont="1" applyFill="1" applyBorder="1"/>
    <xf numFmtId="0" fontId="34" fillId="0" borderId="132" xfId="0" applyNumberFormat="1" applyFont="1" applyFill="1" applyBorder="1"/>
    <xf numFmtId="168" fontId="34" fillId="9" borderId="87" xfId="4" applyNumberFormat="1" applyFont="1" applyFill="1" applyBorder="1"/>
    <xf numFmtId="168" fontId="34" fillId="9" borderId="92" xfId="4" applyNumberFormat="1" applyFont="1" applyFill="1" applyBorder="1"/>
    <xf numFmtId="3" fontId="34" fillId="9" borderId="133" xfId="0" applyNumberFormat="1" applyFont="1" applyFill="1" applyBorder="1"/>
    <xf numFmtId="3" fontId="34" fillId="9" borderId="134" xfId="0" applyNumberFormat="1" applyFont="1" applyFill="1" applyBorder="1"/>
    <xf numFmtId="3" fontId="34" fillId="9" borderId="118" xfId="0" applyNumberFormat="1" applyFont="1" applyFill="1" applyBorder="1"/>
    <xf numFmtId="168" fontId="34" fillId="14" borderId="104" xfId="4" applyNumberFormat="1" applyFont="1" applyFill="1" applyBorder="1" applyAlignment="1">
      <alignment vertical="center"/>
    </xf>
    <xf numFmtId="0" fontId="34" fillId="0" borderId="107" xfId="0" applyNumberFormat="1" applyFont="1" applyFill="1" applyBorder="1" applyAlignment="1">
      <alignment vertical="top"/>
    </xf>
    <xf numFmtId="3" fontId="34" fillId="9" borderId="133" xfId="0" applyNumberFormat="1" applyFont="1" applyFill="1" applyBorder="1" applyAlignment="1">
      <alignment vertical="top"/>
    </xf>
    <xf numFmtId="3" fontId="34" fillId="9" borderId="134" xfId="0" applyNumberFormat="1" applyFont="1" applyFill="1" applyBorder="1" applyAlignment="1">
      <alignment vertical="top"/>
    </xf>
    <xf numFmtId="3" fontId="34" fillId="9" borderId="118" xfId="0" applyNumberFormat="1" applyFont="1" applyFill="1" applyBorder="1" applyAlignment="1">
      <alignment vertical="top"/>
    </xf>
    <xf numFmtId="168" fontId="34" fillId="9" borderId="87" xfId="4" applyNumberFormat="1" applyFont="1" applyFill="1" applyBorder="1" applyAlignment="1">
      <alignment vertical="top"/>
    </xf>
    <xf numFmtId="168" fontId="34" fillId="9" borderId="129" xfId="4" applyNumberFormat="1" applyFont="1" applyFill="1" applyBorder="1" applyAlignment="1">
      <alignment vertical="top"/>
    </xf>
    <xf numFmtId="168" fontId="34" fillId="9" borderId="135" xfId="4" applyNumberFormat="1" applyFont="1" applyFill="1" applyBorder="1" applyAlignment="1">
      <alignment vertical="top"/>
    </xf>
    <xf numFmtId="168" fontId="34" fillId="9" borderId="89" xfId="4" applyNumberFormat="1" applyFont="1" applyFill="1" applyBorder="1" applyAlignment="1">
      <alignment vertical="top"/>
    </xf>
    <xf numFmtId="168" fontId="34" fillId="9" borderId="131" xfId="4" applyNumberFormat="1" applyFont="1" applyFill="1" applyBorder="1" applyAlignment="1">
      <alignment vertical="top"/>
    </xf>
    <xf numFmtId="0" fontId="34" fillId="0" borderId="91" xfId="0" applyNumberFormat="1" applyFont="1" applyFill="1" applyBorder="1" applyAlignment="1">
      <alignment vertical="top"/>
    </xf>
    <xf numFmtId="168" fontId="34" fillId="9" borderId="92" xfId="4" applyNumberFormat="1" applyFont="1" applyFill="1" applyBorder="1" applyAlignment="1">
      <alignment vertical="top"/>
    </xf>
    <xf numFmtId="168" fontId="34" fillId="9" borderId="111" xfId="4" applyNumberFormat="1" applyFont="1" applyFill="1" applyBorder="1" applyAlignment="1">
      <alignment vertical="top"/>
    </xf>
    <xf numFmtId="168" fontId="34" fillId="9" borderId="136" xfId="4" applyNumberFormat="1" applyFont="1" applyFill="1" applyBorder="1" applyAlignment="1">
      <alignment vertical="top"/>
    </xf>
    <xf numFmtId="168" fontId="34" fillId="9" borderId="94" xfId="4" applyNumberFormat="1" applyFont="1" applyFill="1" applyBorder="1" applyAlignment="1">
      <alignment vertical="top"/>
    </xf>
    <xf numFmtId="168" fontId="34" fillId="9" borderId="112" xfId="4" applyNumberFormat="1" applyFont="1" applyFill="1" applyBorder="1" applyAlignment="1">
      <alignment vertical="top"/>
    </xf>
    <xf numFmtId="3" fontId="15" fillId="9" borderId="133" xfId="0" applyNumberFormat="1" applyFont="1" applyFill="1" applyBorder="1" applyAlignment="1">
      <alignment vertical="top"/>
    </xf>
    <xf numFmtId="3" fontId="15" fillId="9" borderId="134" xfId="0" applyNumberFormat="1" applyFont="1" applyFill="1" applyBorder="1" applyAlignment="1">
      <alignment vertical="top"/>
    </xf>
    <xf numFmtId="3" fontId="15" fillId="9" borderId="118" xfId="0" applyNumberFormat="1" applyFont="1" applyFill="1" applyBorder="1" applyAlignment="1">
      <alignment vertical="top"/>
    </xf>
    <xf numFmtId="168" fontId="15" fillId="9" borderId="92" xfId="4" applyNumberFormat="1" applyFont="1" applyFill="1" applyBorder="1" applyAlignment="1">
      <alignment vertical="top"/>
    </xf>
    <xf numFmtId="168" fontId="15" fillId="9" borderId="111" xfId="4" applyNumberFormat="1" applyFont="1" applyFill="1" applyBorder="1" applyAlignment="1">
      <alignment vertical="top"/>
    </xf>
    <xf numFmtId="168" fontId="15" fillId="9" borderId="136" xfId="4" applyNumberFormat="1" applyFont="1" applyFill="1" applyBorder="1" applyAlignment="1">
      <alignment vertical="top"/>
    </xf>
    <xf numFmtId="168" fontId="15" fillId="9" borderId="94" xfId="4" applyNumberFormat="1" applyFont="1" applyFill="1" applyBorder="1" applyAlignment="1">
      <alignment vertical="top"/>
    </xf>
    <xf numFmtId="168" fontId="15" fillId="9" borderId="112" xfId="4" applyNumberFormat="1" applyFont="1" applyFill="1" applyBorder="1" applyAlignment="1">
      <alignment vertical="top"/>
    </xf>
    <xf numFmtId="3" fontId="45" fillId="9" borderId="133" xfId="0" applyNumberFormat="1" applyFont="1" applyFill="1" applyBorder="1" applyAlignment="1">
      <alignment vertical="top"/>
    </xf>
    <xf numFmtId="3" fontId="45" fillId="9" borderId="134" xfId="0" applyNumberFormat="1" applyFont="1" applyFill="1" applyBorder="1" applyAlignment="1">
      <alignment vertical="top"/>
    </xf>
    <xf numFmtId="3" fontId="45" fillId="9" borderId="118" xfId="0" applyNumberFormat="1" applyFont="1" applyFill="1" applyBorder="1" applyAlignment="1">
      <alignment vertical="top"/>
    </xf>
    <xf numFmtId="168" fontId="34" fillId="9" borderId="100" xfId="4" applyNumberFormat="1" applyFont="1" applyFill="1" applyBorder="1" applyAlignment="1">
      <alignment vertical="top"/>
    </xf>
    <xf numFmtId="168" fontId="34" fillId="9" borderId="126" xfId="4" applyNumberFormat="1" applyFont="1" applyFill="1" applyBorder="1" applyAlignment="1">
      <alignment vertical="top"/>
    </xf>
    <xf numFmtId="168" fontId="34" fillId="9" borderId="137" xfId="4" applyNumberFormat="1" applyFont="1" applyFill="1" applyBorder="1" applyAlignment="1">
      <alignment vertical="top"/>
    </xf>
    <xf numFmtId="168" fontId="34" fillId="9" borderId="103" xfId="4" applyNumberFormat="1" applyFont="1" applyFill="1" applyBorder="1" applyAlignment="1">
      <alignment vertical="top"/>
    </xf>
    <xf numFmtId="168" fontId="34" fillId="9" borderId="127" xfId="4" applyNumberFormat="1" applyFont="1" applyFill="1" applyBorder="1" applyAlignment="1">
      <alignment vertical="top"/>
    </xf>
    <xf numFmtId="3" fontId="48" fillId="9" borderId="133" xfId="0" applyNumberFormat="1" applyFont="1" applyFill="1" applyBorder="1" applyAlignment="1">
      <alignment vertical="top"/>
    </xf>
    <xf numFmtId="168" fontId="48" fillId="9" borderId="92" xfId="4" applyNumberFormat="1" applyFont="1" applyFill="1" applyBorder="1" applyAlignment="1">
      <alignment vertical="top"/>
    </xf>
    <xf numFmtId="168" fontId="45" fillId="9" borderId="136" xfId="4" applyNumberFormat="1" applyFont="1" applyFill="1" applyBorder="1" applyAlignment="1">
      <alignment vertical="top"/>
    </xf>
    <xf numFmtId="168" fontId="45" fillId="9" borderId="94" xfId="4" applyNumberFormat="1" applyFont="1" applyFill="1" applyBorder="1" applyAlignment="1">
      <alignment vertical="top"/>
    </xf>
    <xf numFmtId="168" fontId="45" fillId="9" borderId="112" xfId="4" applyNumberFormat="1" applyFont="1" applyFill="1" applyBorder="1" applyAlignment="1">
      <alignment vertical="top"/>
    </xf>
    <xf numFmtId="168" fontId="45" fillId="14" borderId="105" xfId="4" applyNumberFormat="1" applyFont="1" applyFill="1" applyBorder="1" applyAlignment="1">
      <alignment vertical="center"/>
    </xf>
    <xf numFmtId="3" fontId="34" fillId="9" borderId="133" xfId="0" applyNumberFormat="1" applyFont="1" applyFill="1" applyBorder="1" applyAlignment="1">
      <alignment vertical="center"/>
    </xf>
    <xf numFmtId="3" fontId="34" fillId="9" borderId="134" xfId="0" applyNumberFormat="1" applyFont="1" applyFill="1" applyBorder="1" applyAlignment="1">
      <alignment vertical="center"/>
    </xf>
    <xf numFmtId="3" fontId="34" fillId="9" borderId="118" xfId="0" applyNumberFormat="1" applyFont="1" applyFill="1" applyBorder="1" applyAlignment="1">
      <alignment vertical="center"/>
    </xf>
    <xf numFmtId="3" fontId="34" fillId="9" borderId="89" xfId="0" applyNumberFormat="1" applyFont="1" applyFill="1" applyBorder="1" applyAlignment="1">
      <alignment vertical="center"/>
    </xf>
    <xf numFmtId="3" fontId="34" fillId="9" borderId="90" xfId="0" applyNumberFormat="1" applyFont="1" applyFill="1" applyBorder="1" applyAlignment="1">
      <alignment vertical="center"/>
    </xf>
    <xf numFmtId="168" fontId="34" fillId="9" borderId="87" xfId="4" applyNumberFormat="1" applyFont="1" applyFill="1" applyBorder="1" applyAlignment="1">
      <alignment vertical="center"/>
    </xf>
    <xf numFmtId="168" fontId="34" fillId="9" borderId="129" xfId="4" applyNumberFormat="1" applyFont="1" applyFill="1" applyBorder="1" applyAlignment="1">
      <alignment vertical="center"/>
    </xf>
    <xf numFmtId="168" fontId="34" fillId="9" borderId="135" xfId="4" applyNumberFormat="1" applyFont="1" applyFill="1" applyBorder="1" applyAlignment="1">
      <alignment vertical="center"/>
    </xf>
    <xf numFmtId="168" fontId="34" fillId="9" borderId="89" xfId="4" applyNumberFormat="1" applyFont="1" applyFill="1" applyBorder="1" applyAlignment="1">
      <alignment vertical="center"/>
    </xf>
    <xf numFmtId="168" fontId="34" fillId="9" borderId="131" xfId="4" applyNumberFormat="1" applyFont="1" applyFill="1" applyBorder="1" applyAlignment="1">
      <alignment vertical="center"/>
    </xf>
    <xf numFmtId="3" fontId="34" fillId="9" borderId="94" xfId="0" applyNumberFormat="1" applyFont="1" applyFill="1" applyBorder="1" applyAlignment="1">
      <alignment vertical="center"/>
    </xf>
    <xf numFmtId="3" fontId="34" fillId="9" borderId="95" xfId="0" applyNumberFormat="1" applyFont="1" applyFill="1" applyBorder="1" applyAlignment="1">
      <alignment vertical="center"/>
    </xf>
    <xf numFmtId="168" fontId="34" fillId="9" borderId="92" xfId="4" applyNumberFormat="1" applyFont="1" applyFill="1" applyBorder="1" applyAlignment="1">
      <alignment vertical="center"/>
    </xf>
    <xf numFmtId="168" fontId="34" fillId="9" borderId="111" xfId="4" applyNumberFormat="1" applyFont="1" applyFill="1" applyBorder="1" applyAlignment="1">
      <alignment vertical="center"/>
    </xf>
    <xf numFmtId="168" fontId="34" fillId="9" borderId="136" xfId="4" applyNumberFormat="1" applyFont="1" applyFill="1" applyBorder="1" applyAlignment="1">
      <alignment vertical="center"/>
    </xf>
    <xf numFmtId="168" fontId="34" fillId="9" borderId="94" xfId="4" applyNumberFormat="1" applyFont="1" applyFill="1" applyBorder="1" applyAlignment="1">
      <alignment vertical="center"/>
    </xf>
    <xf numFmtId="168" fontId="34" fillId="9" borderId="112" xfId="4" applyNumberFormat="1" applyFont="1" applyFill="1" applyBorder="1" applyAlignment="1">
      <alignment vertical="center"/>
    </xf>
    <xf numFmtId="168" fontId="45" fillId="9" borderId="92" xfId="4" applyNumberFormat="1" applyFont="1" applyFill="1" applyBorder="1" applyAlignment="1">
      <alignment vertical="center"/>
    </xf>
    <xf numFmtId="168" fontId="45" fillId="9" borderId="100" xfId="4" applyNumberFormat="1" applyFont="1" applyFill="1" applyBorder="1" applyAlignment="1">
      <alignment vertical="center"/>
    </xf>
    <xf numFmtId="168" fontId="34" fillId="9" borderId="126" xfId="4" applyNumberFormat="1" applyFont="1" applyFill="1" applyBorder="1" applyAlignment="1">
      <alignment vertical="center"/>
    </xf>
    <xf numFmtId="168" fontId="34" fillId="9" borderId="137" xfId="4" applyNumberFormat="1" applyFont="1" applyFill="1" applyBorder="1" applyAlignment="1">
      <alignment vertical="center"/>
    </xf>
    <xf numFmtId="168" fontId="34" fillId="9" borderId="103" xfId="4" applyNumberFormat="1" applyFont="1" applyFill="1" applyBorder="1" applyAlignment="1">
      <alignment vertical="center"/>
    </xf>
    <xf numFmtId="168" fontId="34" fillId="9" borderId="127" xfId="4" applyNumberFormat="1" applyFont="1" applyFill="1" applyBorder="1" applyAlignment="1">
      <alignment vertical="center"/>
    </xf>
    <xf numFmtId="3" fontId="37" fillId="14" borderId="31" xfId="0" applyNumberFormat="1" applyFont="1" applyFill="1" applyBorder="1" applyAlignment="1">
      <alignment vertical="center"/>
    </xf>
    <xf numFmtId="3" fontId="37" fillId="14" borderId="106" xfId="0" applyNumberFormat="1" applyFont="1" applyFill="1" applyBorder="1" applyAlignment="1">
      <alignment vertical="center"/>
    </xf>
    <xf numFmtId="168" fontId="49" fillId="14" borderId="105" xfId="4" applyNumberFormat="1" applyFont="1" applyFill="1" applyBorder="1" applyAlignment="1">
      <alignment vertical="center"/>
    </xf>
    <xf numFmtId="168" fontId="49" fillId="14" borderId="106" xfId="4" applyNumberFormat="1" applyFont="1" applyFill="1" applyBorder="1" applyAlignment="1">
      <alignment vertical="center"/>
    </xf>
    <xf numFmtId="168" fontId="37" fillId="14" borderId="124" xfId="4" applyNumberFormat="1" applyFont="1" applyFill="1" applyBorder="1" applyAlignment="1">
      <alignment vertical="center"/>
    </xf>
    <xf numFmtId="168" fontId="37" fillId="14" borderId="106" xfId="4" applyNumberFormat="1" applyFont="1" applyFill="1" applyBorder="1" applyAlignment="1">
      <alignment vertical="center"/>
    </xf>
    <xf numFmtId="168" fontId="34" fillId="9" borderId="100" xfId="4" applyNumberFormat="1" applyFont="1" applyFill="1" applyBorder="1" applyAlignment="1">
      <alignment vertical="center"/>
    </xf>
    <xf numFmtId="3" fontId="49" fillId="14" borderId="106" xfId="0" applyNumberFormat="1" applyFont="1" applyFill="1" applyBorder="1" applyAlignment="1">
      <alignment vertical="center"/>
    </xf>
    <xf numFmtId="3" fontId="15" fillId="9" borderId="133" xfId="0" applyNumberFormat="1" applyFont="1" applyFill="1" applyBorder="1" applyAlignment="1">
      <alignment vertical="center"/>
    </xf>
    <xf numFmtId="3" fontId="15" fillId="9" borderId="134" xfId="0" applyNumberFormat="1" applyFont="1" applyFill="1" applyBorder="1" applyAlignment="1">
      <alignment vertical="center"/>
    </xf>
    <xf numFmtId="3" fontId="15" fillId="9" borderId="118" xfId="0" applyNumberFormat="1" applyFont="1" applyFill="1" applyBorder="1" applyAlignment="1">
      <alignment vertical="center"/>
    </xf>
    <xf numFmtId="3" fontId="15" fillId="9" borderId="94" xfId="0" applyNumberFormat="1" applyFont="1" applyFill="1" applyBorder="1" applyAlignment="1">
      <alignment vertical="center"/>
    </xf>
    <xf numFmtId="3" fontId="15" fillId="9" borderId="95" xfId="0" applyNumberFormat="1" applyFont="1" applyFill="1" applyBorder="1" applyAlignment="1">
      <alignment vertical="center"/>
    </xf>
    <xf numFmtId="168" fontId="15" fillId="9" borderId="92" xfId="4" applyNumberFormat="1" applyFont="1" applyFill="1" applyBorder="1" applyAlignment="1">
      <alignment vertical="center"/>
    </xf>
    <xf numFmtId="168" fontId="15" fillId="9" borderId="111" xfId="4" applyNumberFormat="1" applyFont="1" applyFill="1" applyBorder="1" applyAlignment="1">
      <alignment vertical="center"/>
    </xf>
    <xf numFmtId="168" fontId="15" fillId="9" borderId="136" xfId="4" applyNumberFormat="1" applyFont="1" applyFill="1" applyBorder="1" applyAlignment="1">
      <alignment vertical="center"/>
    </xf>
    <xf numFmtId="168" fontId="15" fillId="9" borderId="94" xfId="4" applyNumberFormat="1" applyFont="1" applyFill="1" applyBorder="1" applyAlignment="1">
      <alignment vertical="center"/>
    </xf>
    <xf numFmtId="168" fontId="15" fillId="9" borderId="112" xfId="4" applyNumberFormat="1" applyFont="1" applyFill="1" applyBorder="1" applyAlignment="1">
      <alignment vertical="center"/>
    </xf>
    <xf numFmtId="3" fontId="51" fillId="14" borderId="106" xfId="0" applyNumberFormat="1" applyFont="1" applyFill="1" applyBorder="1" applyAlignment="1">
      <alignment vertical="center"/>
    </xf>
    <xf numFmtId="3" fontId="45" fillId="14" borderId="31" xfId="0" applyNumberFormat="1" applyFont="1" applyFill="1" applyBorder="1" applyAlignment="1">
      <alignment vertical="center"/>
    </xf>
    <xf numFmtId="9" fontId="34" fillId="14" borderId="124" xfId="4" applyFont="1" applyFill="1" applyBorder="1" applyAlignment="1">
      <alignment vertical="center"/>
    </xf>
    <xf numFmtId="11" fontId="0" fillId="0" borderId="0" xfId="0" applyNumberFormat="1"/>
    <xf numFmtId="0" fontId="0" fillId="0" borderId="0" xfId="0" applyNumberFormat="1"/>
    <xf numFmtId="0" fontId="33" fillId="0" borderId="0" xfId="10" applyFont="1" applyBorder="1" applyAlignment="1">
      <alignment horizontal="center"/>
    </xf>
    <xf numFmtId="0" fontId="35" fillId="16" borderId="0" xfId="10" applyFont="1" applyFill="1" applyBorder="1" applyAlignment="1">
      <alignment horizontal="center"/>
    </xf>
    <xf numFmtId="0" fontId="3" fillId="17" borderId="46" xfId="10" applyFill="1" applyBorder="1" applyAlignment="1">
      <alignment horizontal="center" textRotation="90" wrapText="1"/>
    </xf>
    <xf numFmtId="0" fontId="3" fillId="17" borderId="47" xfId="10" applyFill="1" applyBorder="1" applyAlignment="1">
      <alignment horizontal="center" textRotation="90" wrapText="1"/>
    </xf>
    <xf numFmtId="0" fontId="34" fillId="17" borderId="48" xfId="10" applyFont="1" applyFill="1" applyBorder="1" applyAlignment="1">
      <alignment horizontal="center" textRotation="90" wrapText="1"/>
    </xf>
    <xf numFmtId="0" fontId="34" fillId="17" borderId="52" xfId="10" applyFont="1" applyFill="1" applyBorder="1" applyAlignment="1">
      <alignment horizontal="center" textRotation="90" wrapText="1"/>
    </xf>
    <xf numFmtId="9" fontId="34" fillId="17" borderId="49" xfId="4" applyFont="1" applyFill="1" applyBorder="1" applyAlignment="1">
      <alignment horizontal="center" textRotation="90" wrapText="1"/>
    </xf>
    <xf numFmtId="0" fontId="34" fillId="16" borderId="52" xfId="10" applyFont="1" applyFill="1" applyBorder="1" applyAlignment="1">
      <alignment horizontal="center" textRotation="90" wrapText="1"/>
    </xf>
    <xf numFmtId="0" fontId="3" fillId="17" borderId="56" xfId="10" applyFill="1" applyBorder="1" applyAlignment="1">
      <alignment horizontal="center" textRotation="90" wrapText="1"/>
    </xf>
    <xf numFmtId="0" fontId="3" fillId="17" borderId="57" xfId="10" applyFill="1" applyBorder="1" applyAlignment="1">
      <alignment horizontal="center" textRotation="90" wrapText="1"/>
    </xf>
    <xf numFmtId="0" fontId="34" fillId="17" borderId="58" xfId="10" applyFont="1" applyFill="1" applyBorder="1" applyAlignment="1">
      <alignment horizontal="center" textRotation="90" wrapText="1"/>
    </xf>
    <xf numFmtId="0" fontId="34" fillId="17" borderId="6" xfId="10" applyFont="1" applyFill="1" applyBorder="1" applyAlignment="1">
      <alignment horizontal="center" textRotation="90" wrapText="1"/>
    </xf>
    <xf numFmtId="9" fontId="34" fillId="17" borderId="49" xfId="4" applyFont="1" applyFill="1" applyBorder="1" applyAlignment="1">
      <alignment horizontal="center" vertical="center" wrapText="1"/>
    </xf>
    <xf numFmtId="0" fontId="35" fillId="16" borderId="0" xfId="10" applyFont="1" applyFill="1" applyBorder="1" applyAlignment="1">
      <alignment horizontal="center" textRotation="90" wrapText="1"/>
    </xf>
    <xf numFmtId="0" fontId="35" fillId="17" borderId="59" xfId="10" applyFont="1" applyFill="1" applyBorder="1" applyAlignment="1">
      <alignment horizontal="center"/>
    </xf>
    <xf numFmtId="0" fontId="35" fillId="17" borderId="6" xfId="10" applyFont="1" applyFill="1" applyBorder="1" applyAlignment="1">
      <alignment horizontal="center"/>
    </xf>
    <xf numFmtId="0" fontId="35" fillId="17" borderId="0" xfId="10" applyFont="1" applyFill="1" applyBorder="1" applyAlignment="1">
      <alignment horizontal="center"/>
    </xf>
    <xf numFmtId="0" fontId="37" fillId="18" borderId="63" xfId="10" applyFont="1" applyFill="1" applyBorder="1" applyAlignment="1">
      <alignment horizontal="left"/>
    </xf>
    <xf numFmtId="0" fontId="37" fillId="18" borderId="64" xfId="10" applyFont="1" applyFill="1" applyBorder="1" applyAlignment="1">
      <alignment horizontal="left"/>
    </xf>
    <xf numFmtId="2" fontId="37" fillId="16" borderId="65" xfId="10" applyNumberFormat="1" applyFont="1" applyFill="1" applyBorder="1" applyAlignment="1">
      <alignment horizontal="right"/>
    </xf>
    <xf numFmtId="2" fontId="37" fillId="16" borderId="0" xfId="10" applyNumberFormat="1" applyFont="1" applyFill="1" applyBorder="1" applyAlignment="1">
      <alignment horizontal="right"/>
    </xf>
    <xf numFmtId="2" fontId="37" fillId="16" borderId="66" xfId="10" applyNumberFormat="1" applyFont="1" applyFill="1" applyBorder="1" applyAlignment="1">
      <alignment horizontal="right"/>
    </xf>
    <xf numFmtId="2" fontId="37" fillId="17" borderId="67" xfId="4" applyNumberFormat="1" applyFont="1" applyFill="1" applyBorder="1" applyAlignment="1">
      <alignment horizontal="center" vertical="center" wrapText="1"/>
    </xf>
    <xf numFmtId="0" fontId="3" fillId="17" borderId="25" xfId="10" applyFill="1" applyBorder="1"/>
    <xf numFmtId="0" fontId="34" fillId="17" borderId="68" xfId="10" applyFont="1" applyFill="1" applyBorder="1" applyAlignment="1">
      <alignment horizontal="center"/>
    </xf>
    <xf numFmtId="0" fontId="34" fillId="17" borderId="0" xfId="10" applyFont="1" applyFill="1" applyBorder="1" applyAlignment="1">
      <alignment horizontal="center"/>
    </xf>
    <xf numFmtId="0" fontId="37" fillId="16" borderId="46" xfId="10" applyFont="1" applyFill="1" applyBorder="1" applyAlignment="1">
      <alignment horizontal="center"/>
    </xf>
    <xf numFmtId="0" fontId="37" fillId="16" borderId="52" xfId="10" applyFont="1" applyFill="1" applyBorder="1" applyAlignment="1">
      <alignment horizontal="center"/>
    </xf>
    <xf numFmtId="0" fontId="37" fillId="16" borderId="48" xfId="10" applyFont="1" applyFill="1" applyBorder="1" applyAlignment="1">
      <alignment horizontal="center"/>
    </xf>
    <xf numFmtId="9" fontId="34" fillId="17" borderId="54" xfId="4" applyFont="1" applyFill="1" applyBorder="1" applyAlignment="1">
      <alignment horizontal="center" wrapText="1"/>
    </xf>
    <xf numFmtId="0" fontId="3" fillId="17" borderId="73" xfId="10" applyFill="1" applyBorder="1"/>
    <xf numFmtId="0" fontId="37" fillId="18" borderId="79" xfId="10" applyFont="1" applyFill="1" applyBorder="1" applyAlignment="1">
      <alignment horizontal="center"/>
    </xf>
    <xf numFmtId="0" fontId="37" fillId="18" borderId="5" xfId="10" applyFont="1" applyFill="1" applyBorder="1" applyAlignment="1">
      <alignment horizontal="center"/>
    </xf>
    <xf numFmtId="0" fontId="34" fillId="17" borderId="81" xfId="10" applyFont="1" applyFill="1" applyBorder="1" applyAlignment="1">
      <alignment horizontal="center"/>
    </xf>
    <xf numFmtId="0" fontId="34" fillId="17" borderId="80" xfId="10" applyFont="1" applyFill="1" applyBorder="1" applyAlignment="1">
      <alignment horizontal="center"/>
    </xf>
    <xf numFmtId="0" fontId="34" fillId="17" borderId="38" xfId="10" applyFont="1" applyFill="1" applyBorder="1" applyAlignment="1">
      <alignment horizontal="center"/>
    </xf>
    <xf numFmtId="0" fontId="3" fillId="17" borderId="13" xfId="10" applyFill="1" applyBorder="1"/>
    <xf numFmtId="0" fontId="3" fillId="0" borderId="86" xfId="10" applyNumberFormat="1" applyBorder="1"/>
    <xf numFmtId="3" fontId="3" fillId="16" borderId="87" xfId="10" applyNumberFormat="1" applyFill="1" applyBorder="1"/>
    <xf numFmtId="3" fontId="3" fillId="16" borderId="88" xfId="10" applyNumberFormat="1" applyFill="1" applyBorder="1"/>
    <xf numFmtId="3" fontId="3" fillId="16" borderId="86" xfId="10" applyNumberFormat="1" applyFill="1" applyBorder="1"/>
    <xf numFmtId="3" fontId="3" fillId="16" borderId="89" xfId="10" applyNumberFormat="1" applyFill="1" applyBorder="1"/>
    <xf numFmtId="0" fontId="34" fillId="17" borderId="25" xfId="10" applyFont="1" applyFill="1" applyBorder="1" applyAlignment="1">
      <alignment horizontal="left"/>
    </xf>
    <xf numFmtId="0" fontId="3" fillId="17" borderId="0" xfId="10" applyFill="1" applyBorder="1" applyAlignment="1">
      <alignment horizontal="center"/>
    </xf>
    <xf numFmtId="178" fontId="3" fillId="17" borderId="0" xfId="10" applyNumberFormat="1" applyFill="1" applyBorder="1" applyAlignment="1"/>
    <xf numFmtId="0" fontId="3" fillId="0" borderId="91" xfId="10" applyNumberFormat="1" applyBorder="1"/>
    <xf numFmtId="3" fontId="3" fillId="16" borderId="92" xfId="10" applyNumberFormat="1" applyFill="1" applyBorder="1"/>
    <xf numFmtId="3" fontId="3" fillId="16" borderId="93" xfId="10" applyNumberFormat="1" applyFill="1" applyBorder="1"/>
    <xf numFmtId="3" fontId="3" fillId="16" borderId="91" xfId="10" applyNumberFormat="1" applyFill="1" applyBorder="1"/>
    <xf numFmtId="3" fontId="3" fillId="16" borderId="94" xfId="10" applyNumberFormat="1" applyFill="1" applyBorder="1"/>
    <xf numFmtId="168" fontId="37" fillId="17" borderId="0" xfId="4" applyNumberFormat="1" applyFont="1" applyFill="1" applyBorder="1" applyAlignment="1">
      <alignment horizontal="right"/>
    </xf>
    <xf numFmtId="0" fontId="3" fillId="17" borderId="25" xfId="10" applyFill="1" applyBorder="1" applyAlignment="1">
      <alignment horizontal="center"/>
    </xf>
    <xf numFmtId="0" fontId="3" fillId="17" borderId="0" xfId="10" applyFill="1"/>
    <xf numFmtId="0" fontId="3" fillId="0" borderId="99" xfId="10" applyNumberFormat="1" applyBorder="1"/>
    <xf numFmtId="3" fontId="3" fillId="16" borderId="100" xfId="10" applyNumberFormat="1" applyFill="1" applyBorder="1"/>
    <xf numFmtId="3" fontId="3" fillId="16" borderId="101" xfId="10" applyNumberFormat="1" applyFill="1" applyBorder="1"/>
    <xf numFmtId="3" fontId="3" fillId="16" borderId="102" xfId="10" applyNumberFormat="1" applyFill="1" applyBorder="1"/>
    <xf numFmtId="3" fontId="3" fillId="16" borderId="134" xfId="10" applyNumberFormat="1" applyFill="1" applyBorder="1"/>
    <xf numFmtId="0" fontId="34" fillId="5" borderId="104" xfId="10" applyNumberFormat="1" applyFont="1" applyFill="1" applyBorder="1"/>
    <xf numFmtId="0" fontId="34" fillId="5" borderId="105" xfId="10" applyNumberFormat="1" applyFont="1" applyFill="1" applyBorder="1"/>
    <xf numFmtId="3" fontId="34" fillId="5" borderId="31" xfId="10" applyNumberFormat="1" applyFont="1" applyFill="1" applyBorder="1" applyAlignment="1">
      <alignment vertical="center"/>
    </xf>
    <xf numFmtId="3" fontId="3" fillId="5" borderId="106" xfId="10" applyNumberFormat="1" applyFill="1" applyBorder="1" applyAlignment="1">
      <alignment vertical="center"/>
    </xf>
    <xf numFmtId="3" fontId="3" fillId="17" borderId="13" xfId="10" applyNumberFormat="1" applyFill="1" applyBorder="1"/>
    <xf numFmtId="0" fontId="3" fillId="17" borderId="38" xfId="10" applyFill="1" applyBorder="1"/>
    <xf numFmtId="168" fontId="34" fillId="16" borderId="108" xfId="4" applyNumberFormat="1" applyFont="1" applyFill="1" applyBorder="1"/>
    <xf numFmtId="168" fontId="34" fillId="16" borderId="109" xfId="4" applyNumberFormat="1" applyFont="1" applyFill="1" applyBorder="1"/>
    <xf numFmtId="168" fontId="34" fillId="16" borderId="111" xfId="4" applyNumberFormat="1" applyFont="1" applyFill="1" applyBorder="1"/>
    <xf numFmtId="168" fontId="34" fillId="16" borderId="91" xfId="4" applyNumberFormat="1" applyFont="1" applyFill="1" applyBorder="1"/>
    <xf numFmtId="168" fontId="34" fillId="16" borderId="95" xfId="4" applyNumberFormat="1" applyFont="1" applyFill="1" applyBorder="1"/>
    <xf numFmtId="168" fontId="34" fillId="16" borderId="94" xfId="4" applyNumberFormat="1" applyFont="1" applyFill="1" applyBorder="1"/>
    <xf numFmtId="168" fontId="34" fillId="16" borderId="117" xfId="4" applyNumberFormat="1" applyFont="1" applyFill="1" applyBorder="1"/>
    <xf numFmtId="168" fontId="34" fillId="16" borderId="118" xfId="4" applyNumberFormat="1" applyFont="1" applyFill="1" applyBorder="1"/>
    <xf numFmtId="168" fontId="34" fillId="16" borderId="119" xfId="4" applyNumberFormat="1" applyFont="1" applyFill="1" applyBorder="1"/>
    <xf numFmtId="168" fontId="34" fillId="16" borderId="120" xfId="4" applyNumberFormat="1" applyFont="1" applyFill="1" applyBorder="1"/>
    <xf numFmtId="0" fontId="34" fillId="5" borderId="105" xfId="10" applyNumberFormat="1" applyFont="1" applyFill="1" applyBorder="1" applyAlignment="1">
      <alignment vertical="center"/>
    </xf>
    <xf numFmtId="168" fontId="34" fillId="5" borderId="105" xfId="4" applyNumberFormat="1" applyFont="1" applyFill="1" applyBorder="1" applyAlignment="1">
      <alignment vertical="center"/>
    </xf>
    <xf numFmtId="168" fontId="34" fillId="5" borderId="106" xfId="4" applyNumberFormat="1" applyFont="1" applyFill="1" applyBorder="1" applyAlignment="1">
      <alignment vertical="center"/>
    </xf>
    <xf numFmtId="168" fontId="34" fillId="5" borderId="124" xfId="4" applyNumberFormat="1" applyFont="1" applyFill="1" applyBorder="1" applyAlignment="1">
      <alignment vertical="center"/>
    </xf>
    <xf numFmtId="9" fontId="15" fillId="0" borderId="0" xfId="0" applyNumberFormat="1" applyFont="1"/>
    <xf numFmtId="0" fontId="3" fillId="0" borderId="0" xfId="10"/>
    <xf numFmtId="4" fontId="0" fillId="0" borderId="0" xfId="0" applyNumberFormat="1"/>
    <xf numFmtId="0" fontId="53" fillId="0" borderId="0" xfId="5" applyFont="1" applyFill="1" applyProtection="1"/>
    <xf numFmtId="170" fontId="13" fillId="0" borderId="0" xfId="5" applyNumberFormat="1" applyFill="1" applyProtection="1"/>
    <xf numFmtId="0" fontId="35" fillId="17" borderId="59" xfId="10" applyFont="1" applyFill="1" applyBorder="1" applyAlignment="1">
      <alignment horizontal="center"/>
    </xf>
    <xf numFmtId="0" fontId="35" fillId="17" borderId="6" xfId="10" applyFont="1" applyFill="1" applyBorder="1" applyAlignment="1">
      <alignment horizontal="center"/>
    </xf>
    <xf numFmtId="9" fontId="34" fillId="17" borderId="49" xfId="4" applyFont="1" applyFill="1" applyBorder="1" applyAlignment="1">
      <alignment horizontal="center" wrapText="1"/>
    </xf>
    <xf numFmtId="9" fontId="34" fillId="17" borderId="0" xfId="4" applyFont="1" applyFill="1" applyBorder="1" applyAlignment="1">
      <alignment horizontal="center" wrapText="1"/>
    </xf>
    <xf numFmtId="3" fontId="3" fillId="16" borderId="90" xfId="10" applyNumberFormat="1" applyFill="1" applyBorder="1"/>
    <xf numFmtId="3" fontId="3" fillId="16" borderId="95" xfId="10" applyNumberFormat="1" applyFill="1" applyBorder="1"/>
    <xf numFmtId="0" fontId="3" fillId="0" borderId="0" xfId="10" applyNumberFormat="1" applyFill="1" applyBorder="1"/>
    <xf numFmtId="3" fontId="3" fillId="17" borderId="94" xfId="10" applyNumberFormat="1" applyFill="1" applyBorder="1"/>
    <xf numFmtId="173" fontId="3" fillId="16" borderId="93" xfId="10" applyNumberFormat="1" applyFill="1" applyBorder="1"/>
    <xf numFmtId="173" fontId="3" fillId="16" borderId="91" xfId="10" applyNumberFormat="1" applyFill="1" applyBorder="1"/>
    <xf numFmtId="3" fontId="3" fillId="16" borderId="103" xfId="10" applyNumberFormat="1" applyFill="1" applyBorder="1"/>
    <xf numFmtId="173" fontId="34" fillId="5" borderId="31" xfId="10" applyNumberFormat="1" applyFont="1" applyFill="1" applyBorder="1" applyAlignment="1">
      <alignment vertical="center"/>
    </xf>
    <xf numFmtId="168" fontId="34" fillId="16" borderId="0" xfId="4" applyNumberFormat="1" applyFont="1" applyFill="1" applyBorder="1"/>
    <xf numFmtId="0" fontId="3" fillId="17" borderId="52" xfId="10" applyFill="1" applyBorder="1" applyAlignment="1">
      <alignment horizontal="center"/>
    </xf>
    <xf numFmtId="0" fontId="37" fillId="16" borderId="38" xfId="10" applyFont="1" applyFill="1" applyBorder="1" applyAlignment="1">
      <alignment horizontal="right"/>
    </xf>
    <xf numFmtId="168" fontId="34" fillId="16" borderId="140" xfId="4" applyNumberFormat="1" applyFont="1" applyFill="1" applyBorder="1"/>
    <xf numFmtId="168" fontId="34" fillId="16" borderId="93" xfId="4" applyNumberFormat="1" applyFont="1" applyFill="1" applyBorder="1"/>
    <xf numFmtId="168" fontId="34" fillId="16" borderId="134" xfId="4" applyNumberFormat="1" applyFont="1" applyFill="1" applyBorder="1"/>
    <xf numFmtId="0" fontId="34" fillId="17" borderId="141" xfId="10" applyFont="1" applyFill="1" applyBorder="1" applyAlignment="1">
      <alignment horizontal="center"/>
    </xf>
    <xf numFmtId="0" fontId="34" fillId="17" borderId="74" xfId="10" applyFont="1" applyFill="1" applyBorder="1" applyAlignment="1">
      <alignment horizontal="center"/>
    </xf>
    <xf numFmtId="0" fontId="34" fillId="16" borderId="74" xfId="10" applyFont="1" applyFill="1" applyBorder="1" applyAlignment="1">
      <alignment horizontal="center"/>
    </xf>
    <xf numFmtId="0" fontId="0" fillId="0" borderId="142" xfId="0" applyBorder="1"/>
    <xf numFmtId="0" fontId="0" fillId="0" borderId="44" xfId="0" applyBorder="1"/>
    <xf numFmtId="169" fontId="3" fillId="16" borderId="88" xfId="10" applyNumberFormat="1" applyFill="1" applyBorder="1"/>
    <xf numFmtId="169" fontId="3" fillId="16" borderId="93" xfId="10" applyNumberFormat="1" applyFill="1" applyBorder="1"/>
    <xf numFmtId="169" fontId="3" fillId="16" borderId="101" xfId="10" applyNumberFormat="1" applyFill="1" applyBorder="1"/>
    <xf numFmtId="169" fontId="3" fillId="16" borderId="86" xfId="10" applyNumberFormat="1" applyFill="1" applyBorder="1"/>
    <xf numFmtId="169" fontId="3" fillId="16" borderId="91" xfId="10" applyNumberFormat="1" applyFill="1" applyBorder="1"/>
    <xf numFmtId="169" fontId="3" fillId="16" borderId="102" xfId="10" applyNumberFormat="1" applyFill="1" applyBorder="1"/>
    <xf numFmtId="0" fontId="54" fillId="0" borderId="0" xfId="0" applyFont="1"/>
    <xf numFmtId="0" fontId="0" fillId="0" borderId="0" xfId="0" applyFont="1" applyAlignment="1"/>
    <xf numFmtId="0" fontId="34" fillId="16" borderId="38" xfId="10" applyFont="1" applyFill="1" applyBorder="1" applyAlignment="1">
      <alignment horizontal="center"/>
    </xf>
    <xf numFmtId="0" fontId="35" fillId="17" borderId="59" xfId="10" applyFont="1" applyFill="1" applyBorder="1" applyAlignment="1">
      <alignment horizontal="center"/>
    </xf>
    <xf numFmtId="0" fontId="35" fillId="17" borderId="6" xfId="10" applyFont="1" applyFill="1" applyBorder="1" applyAlignment="1">
      <alignment horizontal="center"/>
    </xf>
    <xf numFmtId="0" fontId="0" fillId="19" borderId="0" xfId="0" applyFont="1" applyFill="1" applyAlignment="1"/>
    <xf numFmtId="0" fontId="15" fillId="19" borderId="0" xfId="0" applyFont="1" applyFill="1" applyAlignment="1"/>
    <xf numFmtId="0" fontId="34" fillId="16" borderId="80" xfId="10" applyFont="1" applyFill="1" applyBorder="1" applyAlignment="1"/>
    <xf numFmtId="0" fontId="34" fillId="16" borderId="38" xfId="10" applyFont="1" applyFill="1" applyBorder="1" applyAlignment="1"/>
    <xf numFmtId="0" fontId="3" fillId="17" borderId="143" xfId="10" applyFill="1" applyBorder="1" applyAlignment="1">
      <alignment horizontal="center" textRotation="90" wrapText="1"/>
    </xf>
    <xf numFmtId="0" fontId="3" fillId="17" borderId="144" xfId="10" applyFill="1" applyBorder="1" applyAlignment="1">
      <alignment horizontal="center" textRotation="90" wrapText="1"/>
    </xf>
    <xf numFmtId="0" fontId="37" fillId="16" borderId="52" xfId="10" applyFont="1" applyFill="1" applyBorder="1" applyAlignment="1">
      <alignment horizontal="center"/>
    </xf>
    <xf numFmtId="0" fontId="12" fillId="0" borderId="0" xfId="0" applyFont="1"/>
    <xf numFmtId="0" fontId="0" fillId="0" borderId="0" xfId="0" applyAlignment="1"/>
    <xf numFmtId="0" fontId="2" fillId="17" borderId="57" xfId="10" applyFont="1" applyFill="1" applyBorder="1" applyAlignment="1">
      <alignment horizontal="center" textRotation="90" wrapText="1"/>
    </xf>
    <xf numFmtId="0" fontId="0" fillId="0" borderId="0" xfId="0" applyFont="1" applyAlignment="1"/>
    <xf numFmtId="0" fontId="35" fillId="17" borderId="59" xfId="10" applyFont="1" applyFill="1" applyBorder="1" applyAlignment="1">
      <alignment horizontal="center"/>
    </xf>
    <xf numFmtId="0" fontId="35" fillId="17" borderId="6" xfId="10" applyFont="1" applyFill="1" applyBorder="1" applyAlignment="1">
      <alignment horizontal="center"/>
    </xf>
    <xf numFmtId="0" fontId="34" fillId="16" borderId="80" xfId="10" applyFont="1" applyFill="1" applyBorder="1" applyAlignment="1">
      <alignment horizontal="center"/>
    </xf>
    <xf numFmtId="0" fontId="34" fillId="17" borderId="63" xfId="10" applyFont="1" applyFill="1" applyBorder="1" applyAlignment="1">
      <alignment horizontal="center"/>
    </xf>
    <xf numFmtId="0" fontId="1" fillId="0" borderId="86" xfId="10" applyNumberFormat="1" applyFont="1" applyBorder="1"/>
    <xf numFmtId="0" fontId="1" fillId="0" borderId="91" xfId="10" applyNumberFormat="1" applyFont="1" applyBorder="1"/>
    <xf numFmtId="0" fontId="1" fillId="0" borderId="0" xfId="10" applyNumberFormat="1" applyFont="1" applyBorder="1"/>
    <xf numFmtId="3" fontId="3" fillId="16" borderId="145" xfId="10" applyNumberFormat="1" applyFill="1" applyBorder="1"/>
    <xf numFmtId="0" fontId="56" fillId="16" borderId="4" xfId="15" applyFont="1" applyFill="1" applyBorder="1" applyAlignment="1">
      <alignment horizontal="left" vertical="center" indent="1"/>
    </xf>
    <xf numFmtId="2" fontId="57" fillId="20" borderId="4" xfId="0" applyNumberFormat="1" applyFont="1" applyFill="1" applyBorder="1" applyAlignment="1">
      <alignment horizontal="right"/>
    </xf>
    <xf numFmtId="2" fontId="57" fillId="21" borderId="4" xfId="0" applyNumberFormat="1" applyFont="1" applyFill="1" applyBorder="1" applyAlignment="1">
      <alignment horizontal="right"/>
    </xf>
    <xf numFmtId="2" fontId="57" fillId="22" borderId="4" xfId="0" applyNumberFormat="1" applyFont="1" applyFill="1" applyBorder="1" applyAlignment="1">
      <alignment horizontal="right"/>
    </xf>
    <xf numFmtId="0" fontId="56" fillId="16" borderId="4" xfId="16" applyFont="1" applyFill="1" applyBorder="1" applyAlignment="1">
      <alignment vertical="top"/>
    </xf>
    <xf numFmtId="0" fontId="56" fillId="16" borderId="4" xfId="16" applyFont="1" applyFill="1" applyBorder="1" applyAlignment="1">
      <alignment vertical="center"/>
    </xf>
    <xf numFmtId="0" fontId="58" fillId="16" borderId="147" xfId="15" applyFont="1" applyFill="1" applyBorder="1" applyAlignment="1">
      <alignment horizontal="center" vertical="center"/>
    </xf>
    <xf numFmtId="0" fontId="58" fillId="16" borderId="146" xfId="15" applyFont="1" applyFill="1" applyBorder="1" applyAlignment="1" applyProtection="1">
      <alignment horizontal="center" vertical="center"/>
    </xf>
    <xf numFmtId="0" fontId="58" fillId="16" borderId="50" xfId="15" applyFont="1" applyFill="1" applyBorder="1" applyAlignment="1" applyProtection="1">
      <alignment horizontal="center" vertical="center"/>
    </xf>
    <xf numFmtId="0" fontId="58" fillId="16" borderId="53" xfId="15" applyFont="1" applyFill="1" applyBorder="1" applyAlignment="1" applyProtection="1">
      <alignment horizontal="center" vertical="center"/>
    </xf>
    <xf numFmtId="0" fontId="58" fillId="16" borderId="148" xfId="15" applyFont="1" applyFill="1" applyBorder="1" applyAlignment="1">
      <alignment horizontal="center" vertical="center"/>
    </xf>
    <xf numFmtId="0" fontId="34" fillId="16" borderId="38" xfId="1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0" fontId="60" fillId="0" borderId="107" xfId="17" applyNumberFormat="1" applyBorder="1" applyAlignment="1">
      <alignment vertical="top"/>
    </xf>
    <xf numFmtId="0" fontId="34" fillId="0" borderId="91" xfId="17" applyNumberFormat="1" applyFont="1" applyBorder="1" applyAlignment="1">
      <alignment vertical="top"/>
    </xf>
    <xf numFmtId="168" fontId="34" fillId="5" borderId="105" xfId="18" applyNumberFormat="1" applyFont="1" applyFill="1" applyBorder="1" applyAlignment="1">
      <alignment vertical="center"/>
    </xf>
    <xf numFmtId="168" fontId="34" fillId="5" borderId="106" xfId="18" applyNumberFormat="1" applyFont="1" applyFill="1" applyBorder="1" applyAlignment="1">
      <alignment vertical="center"/>
    </xf>
    <xf numFmtId="3" fontId="34" fillId="16" borderId="133" xfId="17" applyNumberFormat="1" applyFont="1" applyFill="1" applyBorder="1" applyAlignment="1">
      <alignment vertical="center"/>
    </xf>
    <xf numFmtId="3" fontId="34" fillId="16" borderId="134" xfId="17" applyNumberFormat="1" applyFont="1" applyFill="1" applyBorder="1" applyAlignment="1">
      <alignment vertical="center"/>
    </xf>
    <xf numFmtId="3" fontId="34" fillId="16" borderId="118" xfId="17" applyNumberFormat="1" applyFont="1" applyFill="1" applyBorder="1" applyAlignment="1">
      <alignment vertical="center"/>
    </xf>
    <xf numFmtId="3" fontId="34" fillId="16" borderId="94" xfId="17" applyNumberFormat="1" applyFont="1" applyFill="1" applyBorder="1" applyAlignment="1">
      <alignment vertical="center"/>
    </xf>
    <xf numFmtId="3" fontId="34" fillId="16" borderId="95" xfId="17" applyNumberFormat="1" applyFont="1" applyFill="1" applyBorder="1" applyAlignment="1">
      <alignment vertical="center"/>
    </xf>
    <xf numFmtId="168" fontId="34" fillId="16" borderId="92" xfId="18" applyNumberFormat="1" applyFont="1" applyFill="1" applyBorder="1" applyAlignment="1">
      <alignment vertical="center"/>
    </xf>
    <xf numFmtId="168" fontId="34" fillId="16" borderId="111" xfId="18" applyNumberFormat="1" applyFont="1" applyFill="1" applyBorder="1" applyAlignment="1">
      <alignment vertical="center"/>
    </xf>
    <xf numFmtId="168" fontId="34" fillId="16" borderId="136" xfId="18" applyNumberFormat="1" applyFont="1" applyFill="1" applyBorder="1" applyAlignment="1">
      <alignment vertical="center"/>
    </xf>
    <xf numFmtId="168" fontId="34" fillId="16" borderId="94" xfId="18" applyNumberFormat="1" applyFont="1" applyFill="1" applyBorder="1" applyAlignment="1">
      <alignment vertical="center"/>
    </xf>
    <xf numFmtId="168" fontId="34" fillId="16" borderId="112" xfId="18" applyNumberFormat="1" applyFont="1" applyFill="1" applyBorder="1" applyAlignment="1">
      <alignment vertical="center"/>
    </xf>
    <xf numFmtId="168" fontId="34" fillId="16" borderId="126" xfId="18" applyNumberFormat="1" applyFont="1" applyFill="1" applyBorder="1" applyAlignment="1">
      <alignment vertical="center"/>
    </xf>
    <xf numFmtId="168" fontId="34" fillId="16" borderId="137" xfId="18" applyNumberFormat="1" applyFont="1" applyFill="1" applyBorder="1" applyAlignment="1">
      <alignment vertical="center"/>
    </xf>
    <xf numFmtId="168" fontId="34" fillId="16" borderId="103" xfId="18" applyNumberFormat="1" applyFont="1" applyFill="1" applyBorder="1" applyAlignment="1">
      <alignment vertical="center"/>
    </xf>
    <xf numFmtId="168" fontId="34" fillId="16" borderId="127" xfId="18" applyNumberFormat="1" applyFont="1" applyFill="1" applyBorder="1" applyAlignment="1">
      <alignment vertical="center"/>
    </xf>
    <xf numFmtId="168" fontId="34" fillId="16" borderId="100" xfId="18" applyNumberFormat="1" applyFont="1" applyFill="1" applyBorder="1" applyAlignment="1">
      <alignment vertical="center"/>
    </xf>
    <xf numFmtId="3" fontId="34" fillId="16" borderId="89" xfId="17" applyNumberFormat="1" applyFont="1" applyFill="1" applyBorder="1" applyAlignment="1">
      <alignment vertical="center"/>
    </xf>
    <xf numFmtId="3" fontId="34" fillId="16" borderId="90" xfId="17" applyNumberFormat="1" applyFont="1" applyFill="1" applyBorder="1" applyAlignment="1">
      <alignment vertical="center"/>
    </xf>
    <xf numFmtId="3" fontId="62" fillId="5" borderId="106" xfId="17" applyNumberFormat="1" applyFont="1" applyFill="1" applyBorder="1" applyAlignment="1">
      <alignment vertical="center"/>
    </xf>
    <xf numFmtId="3" fontId="13" fillId="16" borderId="133" xfId="17" applyNumberFormat="1" applyFont="1" applyFill="1" applyBorder="1" applyAlignment="1">
      <alignment vertical="center"/>
    </xf>
    <xf numFmtId="3" fontId="13" fillId="16" borderId="134" xfId="17" applyNumberFormat="1" applyFont="1" applyFill="1" applyBorder="1" applyAlignment="1">
      <alignment vertical="center"/>
    </xf>
    <xf numFmtId="3" fontId="13" fillId="16" borderId="118" xfId="17" applyNumberFormat="1" applyFont="1" applyFill="1" applyBorder="1" applyAlignment="1">
      <alignment vertical="center"/>
    </xf>
    <xf numFmtId="3" fontId="13" fillId="16" borderId="94" xfId="17" applyNumberFormat="1" applyFont="1" applyFill="1" applyBorder="1" applyAlignment="1">
      <alignment vertical="center"/>
    </xf>
    <xf numFmtId="3" fontId="13" fillId="16" borderId="95" xfId="17" applyNumberFormat="1" applyFont="1" applyFill="1" applyBorder="1" applyAlignment="1">
      <alignment vertical="center"/>
    </xf>
    <xf numFmtId="168" fontId="13" fillId="16" borderId="92" xfId="18" applyNumberFormat="1" applyFont="1" applyFill="1" applyBorder="1" applyAlignment="1">
      <alignment vertical="center"/>
    </xf>
    <xf numFmtId="168" fontId="13" fillId="16" borderId="111" xfId="18" applyNumberFormat="1" applyFont="1" applyFill="1" applyBorder="1" applyAlignment="1">
      <alignment vertical="center"/>
    </xf>
    <xf numFmtId="168" fontId="13" fillId="16" borderId="136" xfId="18" applyNumberFormat="1" applyFont="1" applyFill="1" applyBorder="1" applyAlignment="1">
      <alignment vertical="center"/>
    </xf>
    <xf numFmtId="168" fontId="13" fillId="16" borderId="94" xfId="18" applyNumberFormat="1" applyFont="1" applyFill="1" applyBorder="1" applyAlignment="1">
      <alignment vertical="center"/>
    </xf>
    <xf numFmtId="168" fontId="13" fillId="16" borderId="112" xfId="18" applyNumberFormat="1" applyFont="1" applyFill="1" applyBorder="1" applyAlignment="1">
      <alignment vertical="center"/>
    </xf>
    <xf numFmtId="168" fontId="34" fillId="16" borderId="87" xfId="18" applyNumberFormat="1" applyFill="1" applyBorder="1" applyAlignment="1">
      <alignment vertical="center"/>
    </xf>
    <xf numFmtId="168" fontId="34" fillId="16" borderId="129" xfId="18" applyNumberFormat="1" applyFill="1" applyBorder="1" applyAlignment="1">
      <alignment vertical="center"/>
    </xf>
    <xf numFmtId="168" fontId="34" fillId="16" borderId="135" xfId="18" applyNumberFormat="1" applyFill="1" applyBorder="1" applyAlignment="1">
      <alignment vertical="center"/>
    </xf>
    <xf numFmtId="168" fontId="34" fillId="16" borderId="89" xfId="18" applyNumberFormat="1" applyFill="1" applyBorder="1" applyAlignment="1">
      <alignment vertical="center"/>
    </xf>
    <xf numFmtId="168" fontId="34" fillId="16" borderId="131" xfId="18" applyNumberFormat="1" applyFill="1" applyBorder="1" applyAlignment="1">
      <alignment vertical="center"/>
    </xf>
    <xf numFmtId="3" fontId="45" fillId="5" borderId="31" xfId="17" applyNumberFormat="1" applyFont="1" applyFill="1" applyBorder="1" applyAlignment="1">
      <alignment vertical="center"/>
    </xf>
    <xf numFmtId="9" fontId="34" fillId="5" borderId="124" xfId="18" applyFont="1" applyFill="1" applyBorder="1" applyAlignment="1">
      <alignment vertical="center"/>
    </xf>
    <xf numFmtId="0" fontId="60" fillId="0" borderId="107" xfId="17" applyBorder="1" applyAlignment="1">
      <alignment vertical="top"/>
    </xf>
    <xf numFmtId="168" fontId="14" fillId="16" borderId="87" xfId="18" applyNumberFormat="1" applyFont="1" applyFill="1" applyBorder="1" applyAlignment="1">
      <alignment vertical="center"/>
    </xf>
    <xf numFmtId="168" fontId="14" fillId="16" borderId="129" xfId="18" applyNumberFormat="1" applyFont="1" applyFill="1" applyBorder="1" applyAlignment="1">
      <alignment vertical="center"/>
    </xf>
    <xf numFmtId="168" fontId="14" fillId="16" borderId="135" xfId="18" applyNumberFormat="1" applyFont="1" applyFill="1" applyBorder="1" applyAlignment="1">
      <alignment vertical="center"/>
    </xf>
    <xf numFmtId="168" fontId="14" fillId="16" borderId="89" xfId="18" applyNumberFormat="1" applyFont="1" applyFill="1" applyBorder="1" applyAlignment="1">
      <alignment vertical="center"/>
    </xf>
    <xf numFmtId="168" fontId="14" fillId="16" borderId="131" xfId="18" applyNumberFormat="1" applyFont="1" applyFill="1" applyBorder="1" applyAlignment="1">
      <alignment vertical="center"/>
    </xf>
    <xf numFmtId="0" fontId="34" fillId="0" borderId="91" xfId="17" applyFont="1" applyBorder="1" applyAlignment="1">
      <alignment vertical="top"/>
    </xf>
    <xf numFmtId="3" fontId="64" fillId="16" borderId="133" xfId="17" applyNumberFormat="1" applyFont="1" applyFill="1" applyBorder="1" applyAlignment="1">
      <alignment vertical="center"/>
    </xf>
    <xf numFmtId="3" fontId="64" fillId="16" borderId="134" xfId="17" applyNumberFormat="1" applyFont="1" applyFill="1" applyBorder="1" applyAlignment="1">
      <alignment vertical="center"/>
    </xf>
    <xf numFmtId="3" fontId="64" fillId="16" borderId="118" xfId="17" applyNumberFormat="1" applyFont="1" applyFill="1" applyBorder="1" applyAlignment="1">
      <alignment vertical="center"/>
    </xf>
    <xf numFmtId="3" fontId="64" fillId="16" borderId="94" xfId="17" applyNumberFormat="1" applyFont="1" applyFill="1" applyBorder="1" applyAlignment="1">
      <alignment vertical="center"/>
    </xf>
    <xf numFmtId="3" fontId="64" fillId="16" borderId="95" xfId="17" applyNumberFormat="1" applyFont="1" applyFill="1" applyBorder="1" applyAlignment="1">
      <alignment vertical="center"/>
    </xf>
    <xf numFmtId="168" fontId="64" fillId="16" borderId="92" xfId="18" applyNumberFormat="1" applyFont="1" applyFill="1" applyBorder="1" applyAlignment="1">
      <alignment vertical="center"/>
    </xf>
    <xf numFmtId="168" fontId="64" fillId="16" borderId="111" xfId="18" applyNumberFormat="1" applyFont="1" applyFill="1" applyBorder="1" applyAlignment="1">
      <alignment vertical="center"/>
    </xf>
    <xf numFmtId="168" fontId="64" fillId="16" borderId="136" xfId="18" applyNumberFormat="1" applyFont="1" applyFill="1" applyBorder="1" applyAlignment="1">
      <alignment vertical="center"/>
    </xf>
    <xf numFmtId="168" fontId="64" fillId="16" borderId="94" xfId="18" applyNumberFormat="1" applyFont="1" applyFill="1" applyBorder="1" applyAlignment="1">
      <alignment vertical="center"/>
    </xf>
    <xf numFmtId="168" fontId="64" fillId="16" borderId="112" xfId="18" applyNumberFormat="1" applyFont="1" applyFill="1" applyBorder="1" applyAlignment="1">
      <alignment vertical="center"/>
    </xf>
    <xf numFmtId="3" fontId="64" fillId="16" borderId="103" xfId="17" applyNumberFormat="1" applyFont="1" applyFill="1" applyBorder="1" applyAlignment="1">
      <alignment vertical="center"/>
    </xf>
    <xf numFmtId="168" fontId="64" fillId="16" borderId="100" xfId="18" applyNumberFormat="1" applyFont="1" applyFill="1" applyBorder="1" applyAlignment="1">
      <alignment vertical="center"/>
    </xf>
    <xf numFmtId="168" fontId="64" fillId="16" borderId="126" xfId="18" applyNumberFormat="1" applyFont="1" applyFill="1" applyBorder="1" applyAlignment="1">
      <alignment vertical="center"/>
    </xf>
    <xf numFmtId="168" fontId="64" fillId="16" borderId="137" xfId="18" applyNumberFormat="1" applyFont="1" applyFill="1" applyBorder="1" applyAlignment="1">
      <alignment vertical="center"/>
    </xf>
    <xf numFmtId="168" fontId="64" fillId="16" borderId="103" xfId="18" applyNumberFormat="1" applyFont="1" applyFill="1" applyBorder="1" applyAlignment="1">
      <alignment vertical="center"/>
    </xf>
    <xf numFmtId="168" fontId="64" fillId="16" borderId="127" xfId="18" applyNumberFormat="1" applyFont="1" applyFill="1" applyBorder="1" applyAlignment="1">
      <alignment vertical="center"/>
    </xf>
    <xf numFmtId="3" fontId="65" fillId="5" borderId="31" xfId="17" applyNumberFormat="1" applyFont="1" applyFill="1" applyBorder="1" applyAlignment="1">
      <alignment vertical="center"/>
    </xf>
    <xf numFmtId="3" fontId="66" fillId="5" borderId="31" xfId="17" applyNumberFormat="1" applyFont="1" applyFill="1" applyBorder="1" applyAlignment="1">
      <alignment vertical="center"/>
    </xf>
    <xf numFmtId="168" fontId="66" fillId="5" borderId="105" xfId="18" applyNumberFormat="1" applyFont="1" applyFill="1" applyBorder="1" applyAlignment="1">
      <alignment vertical="center"/>
    </xf>
    <xf numFmtId="168" fontId="66" fillId="5" borderId="106" xfId="18" applyNumberFormat="1" applyFont="1" applyFill="1" applyBorder="1" applyAlignment="1">
      <alignment vertical="center"/>
    </xf>
    <xf numFmtId="9" fontId="66" fillId="5" borderId="124" xfId="18" applyFont="1" applyFill="1" applyBorder="1" applyAlignment="1">
      <alignment vertical="center"/>
    </xf>
    <xf numFmtId="168" fontId="67" fillId="5" borderId="106" xfId="18" applyNumberFormat="1" applyFont="1" applyFill="1" applyBorder="1" applyAlignment="1">
      <alignment vertical="center"/>
    </xf>
    <xf numFmtId="168" fontId="14" fillId="16" borderId="92" xfId="18" applyNumberFormat="1" applyFont="1" applyFill="1" applyBorder="1" applyAlignment="1">
      <alignment vertical="center"/>
    </xf>
    <xf numFmtId="168" fontId="14" fillId="16" borderId="136" xfId="18" applyNumberFormat="1" applyFont="1" applyFill="1" applyBorder="1" applyAlignment="1">
      <alignment vertical="center"/>
    </xf>
    <xf numFmtId="168" fontId="14" fillId="16" borderId="94" xfId="18" applyNumberFormat="1" applyFont="1" applyFill="1" applyBorder="1" applyAlignment="1">
      <alignment vertical="center"/>
    </xf>
    <xf numFmtId="168" fontId="14" fillId="16" borderId="112" xfId="18" applyNumberFormat="1" applyFont="1" applyFill="1" applyBorder="1" applyAlignment="1">
      <alignment vertical="center"/>
    </xf>
    <xf numFmtId="0" fontId="35" fillId="17" borderId="55" xfId="10" applyFont="1" applyFill="1" applyBorder="1" applyAlignment="1">
      <alignment horizontal="center"/>
    </xf>
    <xf numFmtId="0" fontId="34" fillId="17" borderId="50" xfId="10" applyFont="1" applyFill="1" applyBorder="1" applyAlignment="1">
      <alignment horizontal="center"/>
    </xf>
    <xf numFmtId="0" fontId="37" fillId="16" borderId="82" xfId="10" applyFont="1" applyFill="1" applyBorder="1" applyAlignment="1">
      <alignment horizontal="right"/>
    </xf>
    <xf numFmtId="0" fontId="37" fillId="16" borderId="15" xfId="10" applyFont="1" applyFill="1" applyBorder="1" applyAlignment="1">
      <alignment horizontal="right"/>
    </xf>
    <xf numFmtId="0" fontId="37" fillId="16" borderId="83" xfId="10" applyFont="1" applyFill="1" applyBorder="1" applyAlignment="1">
      <alignment horizontal="right"/>
    </xf>
    <xf numFmtId="0" fontId="34" fillId="16" borderId="84" xfId="10" applyFont="1" applyFill="1" applyBorder="1" applyAlignment="1">
      <alignment horizontal="center"/>
    </xf>
    <xf numFmtId="9" fontId="34" fillId="17" borderId="3" xfId="4" applyFont="1" applyFill="1" applyBorder="1" applyAlignment="1">
      <alignment horizontal="center" wrapText="1"/>
    </xf>
    <xf numFmtId="3" fontId="34" fillId="17" borderId="45" xfId="10" applyNumberFormat="1" applyFont="1" applyFill="1" applyBorder="1" applyAlignment="1"/>
    <xf numFmtId="0" fontId="3" fillId="17" borderId="45" xfId="10" applyFill="1" applyBorder="1" applyAlignment="1">
      <alignment horizontal="center"/>
    </xf>
    <xf numFmtId="0" fontId="3" fillId="17" borderId="45" xfId="10" applyFill="1" applyBorder="1"/>
    <xf numFmtId="0" fontId="3" fillId="17" borderId="75" xfId="10" applyFill="1" applyBorder="1"/>
    <xf numFmtId="0" fontId="3" fillId="0" borderId="107" xfId="10" applyNumberFormat="1" applyBorder="1"/>
    <xf numFmtId="168" fontId="34" fillId="16" borderId="107" xfId="4" applyNumberFormat="1" applyFont="1" applyFill="1" applyBorder="1"/>
    <xf numFmtId="168" fontId="34" fillId="16" borderId="90" xfId="4" applyNumberFormat="1" applyFont="1" applyFill="1" applyBorder="1"/>
    <xf numFmtId="168" fontId="34" fillId="16" borderId="110" xfId="4" applyNumberFormat="1" applyFont="1" applyFill="1" applyBorder="1"/>
    <xf numFmtId="168" fontId="34" fillId="16" borderId="112" xfId="4" applyNumberFormat="1" applyFont="1" applyFill="1" applyBorder="1"/>
    <xf numFmtId="0" fontId="3" fillId="18" borderId="91" xfId="10" applyNumberFormat="1" applyFill="1" applyBorder="1"/>
    <xf numFmtId="0" fontId="3" fillId="0" borderId="116" xfId="10" applyNumberFormat="1" applyFill="1" applyBorder="1"/>
    <xf numFmtId="168" fontId="34" fillId="16" borderId="121" xfId="4" applyNumberFormat="1" applyFont="1" applyFill="1" applyBorder="1"/>
    <xf numFmtId="0" fontId="34" fillId="5" borderId="104" xfId="10" applyNumberFormat="1" applyFont="1" applyFill="1" applyBorder="1" applyAlignment="1">
      <alignment vertical="center"/>
    </xf>
    <xf numFmtId="0" fontId="3" fillId="0" borderId="107" xfId="10" applyNumberFormat="1" applyFill="1" applyBorder="1"/>
    <xf numFmtId="0" fontId="3" fillId="0" borderId="91" xfId="10" applyNumberFormat="1" applyFill="1" applyBorder="1"/>
    <xf numFmtId="0" fontId="3" fillId="0" borderId="119" xfId="10" applyNumberFormat="1" applyBorder="1"/>
    <xf numFmtId="168" fontId="34" fillId="16" borderId="126" xfId="4" applyNumberFormat="1" applyFont="1" applyFill="1" applyBorder="1"/>
    <xf numFmtId="168" fontId="34" fillId="16" borderId="102" xfId="4" applyNumberFormat="1" applyFont="1" applyFill="1" applyBorder="1"/>
    <xf numFmtId="168" fontId="34" fillId="16" borderId="116" xfId="4" applyNumberFormat="1" applyFont="1" applyFill="1" applyBorder="1"/>
    <xf numFmtId="168" fontId="34" fillId="16" borderId="127" xfId="4" applyNumberFormat="1" applyFont="1" applyFill="1" applyBorder="1"/>
    <xf numFmtId="0" fontId="3" fillId="0" borderId="102" xfId="10" applyNumberFormat="1" applyBorder="1"/>
    <xf numFmtId="0" fontId="3" fillId="0" borderId="128" xfId="10" applyNumberFormat="1" applyBorder="1"/>
    <xf numFmtId="168" fontId="34" fillId="16" borderId="129" xfId="4" applyNumberFormat="1" applyFont="1" applyFill="1" applyBorder="1"/>
    <xf numFmtId="168" fontId="34" fillId="16" borderId="86" xfId="4" applyNumberFormat="1" applyFont="1" applyFill="1" applyBorder="1"/>
    <xf numFmtId="168" fontId="34" fillId="16" borderId="130" xfId="4" applyNumberFormat="1" applyFont="1" applyFill="1" applyBorder="1"/>
    <xf numFmtId="168" fontId="34" fillId="16" borderId="131" xfId="4" applyNumberFormat="1" applyFont="1" applyFill="1" applyBorder="1"/>
    <xf numFmtId="0" fontId="3" fillId="0" borderId="132" xfId="10" applyNumberFormat="1" applyBorder="1"/>
    <xf numFmtId="168" fontId="34" fillId="16" borderId="87" xfId="4" applyNumberFormat="1" applyFont="1" applyFill="1" applyBorder="1"/>
    <xf numFmtId="168" fontId="34" fillId="16" borderId="92" xfId="4" applyNumberFormat="1" applyFont="1" applyFill="1" applyBorder="1"/>
    <xf numFmtId="3" fontId="3" fillId="16" borderId="133" xfId="10" applyNumberFormat="1" applyFill="1" applyBorder="1"/>
    <xf numFmtId="3" fontId="3" fillId="16" borderId="118" xfId="10" applyNumberFormat="1" applyFill="1" applyBorder="1"/>
    <xf numFmtId="168" fontId="34" fillId="5" borderId="104" xfId="4" applyNumberFormat="1" applyFont="1" applyFill="1" applyBorder="1" applyAlignment="1">
      <alignment vertical="center"/>
    </xf>
    <xf numFmtId="0" fontId="3" fillId="0" borderId="107" xfId="10" applyNumberFormat="1" applyBorder="1" applyAlignment="1">
      <alignment vertical="top"/>
    </xf>
    <xf numFmtId="3" fontId="3" fillId="16" borderId="133" xfId="10" applyNumberFormat="1" applyFill="1" applyBorder="1" applyAlignment="1">
      <alignment vertical="top"/>
    </xf>
    <xf numFmtId="3" fontId="3" fillId="16" borderId="134" xfId="10" applyNumberFormat="1" applyFill="1" applyBorder="1" applyAlignment="1">
      <alignment vertical="top"/>
    </xf>
    <xf numFmtId="3" fontId="3" fillId="16" borderId="118" xfId="10" applyNumberFormat="1" applyFill="1" applyBorder="1" applyAlignment="1">
      <alignment vertical="top"/>
    </xf>
    <xf numFmtId="168" fontId="34" fillId="16" borderId="87" xfId="4" applyNumberFormat="1" applyFont="1" applyFill="1" applyBorder="1" applyAlignment="1">
      <alignment vertical="top"/>
    </xf>
    <xf numFmtId="168" fontId="34" fillId="16" borderId="129" xfId="4" applyNumberFormat="1" applyFont="1" applyFill="1" applyBorder="1" applyAlignment="1">
      <alignment vertical="top"/>
    </xf>
    <xf numFmtId="168" fontId="34" fillId="16" borderId="135" xfId="4" applyNumberFormat="1" applyFont="1" applyFill="1" applyBorder="1" applyAlignment="1">
      <alignment vertical="top"/>
    </xf>
    <xf numFmtId="168" fontId="34" fillId="16" borderId="89" xfId="4" applyNumberFormat="1" applyFont="1" applyFill="1" applyBorder="1" applyAlignment="1">
      <alignment vertical="top"/>
    </xf>
    <xf numFmtId="168" fontId="34" fillId="16" borderId="131" xfId="4" applyNumberFormat="1" applyFont="1" applyFill="1" applyBorder="1" applyAlignment="1">
      <alignment vertical="top"/>
    </xf>
    <xf numFmtId="0" fontId="34" fillId="0" borderId="91" xfId="10" applyNumberFormat="1" applyFont="1" applyBorder="1" applyAlignment="1">
      <alignment vertical="top"/>
    </xf>
    <xf numFmtId="3" fontId="34" fillId="16" borderId="133" xfId="10" applyNumberFormat="1" applyFont="1" applyFill="1" applyBorder="1" applyAlignment="1">
      <alignment vertical="top"/>
    </xf>
    <xf numFmtId="3" fontId="34" fillId="16" borderId="134" xfId="10" applyNumberFormat="1" applyFont="1" applyFill="1" applyBorder="1" applyAlignment="1">
      <alignment vertical="top"/>
    </xf>
    <xf numFmtId="3" fontId="34" fillId="16" borderId="118" xfId="10" applyNumberFormat="1" applyFont="1" applyFill="1" applyBorder="1" applyAlignment="1">
      <alignment vertical="top"/>
    </xf>
    <xf numFmtId="168" fontId="34" fillId="16" borderId="92" xfId="4" applyNumberFormat="1" applyFont="1" applyFill="1" applyBorder="1" applyAlignment="1">
      <alignment vertical="top"/>
    </xf>
    <xf numFmtId="168" fontId="34" fillId="16" borderId="111" xfId="4" applyNumberFormat="1" applyFont="1" applyFill="1" applyBorder="1" applyAlignment="1">
      <alignment vertical="top"/>
    </xf>
    <xf numFmtId="168" fontId="34" fillId="16" borderId="136" xfId="4" applyNumberFormat="1" applyFont="1" applyFill="1" applyBorder="1" applyAlignment="1">
      <alignment vertical="top"/>
    </xf>
    <xf numFmtId="168" fontId="34" fillId="16" borderId="94" xfId="4" applyNumberFormat="1" applyFont="1" applyFill="1" applyBorder="1" applyAlignment="1">
      <alignment vertical="top"/>
    </xf>
    <xf numFmtId="168" fontId="34" fillId="16" borderId="112" xfId="4" applyNumberFormat="1" applyFont="1" applyFill="1" applyBorder="1" applyAlignment="1">
      <alignment vertical="top"/>
    </xf>
    <xf numFmtId="3" fontId="13" fillId="16" borderId="133" xfId="10" applyNumberFormat="1" applyFont="1" applyFill="1" applyBorder="1" applyAlignment="1">
      <alignment vertical="top"/>
    </xf>
    <xf numFmtId="3" fontId="13" fillId="16" borderId="134" xfId="10" applyNumberFormat="1" applyFont="1" applyFill="1" applyBorder="1" applyAlignment="1">
      <alignment vertical="top"/>
    </xf>
    <xf numFmtId="3" fontId="13" fillId="16" borderId="118" xfId="10" applyNumberFormat="1" applyFont="1" applyFill="1" applyBorder="1" applyAlignment="1">
      <alignment vertical="top"/>
    </xf>
    <xf numFmtId="168" fontId="13" fillId="16" borderId="92" xfId="4" applyNumberFormat="1" applyFont="1" applyFill="1" applyBorder="1" applyAlignment="1">
      <alignment vertical="top"/>
    </xf>
    <xf numFmtId="168" fontId="13" fillId="16" borderId="111" xfId="4" applyNumberFormat="1" applyFont="1" applyFill="1" applyBorder="1" applyAlignment="1">
      <alignment vertical="top"/>
    </xf>
    <xf numFmtId="168" fontId="13" fillId="16" borderId="136" xfId="4" applyNumberFormat="1" applyFont="1" applyFill="1" applyBorder="1" applyAlignment="1">
      <alignment vertical="top"/>
    </xf>
    <xf numFmtId="168" fontId="13" fillId="16" borderId="94" xfId="4" applyNumberFormat="1" applyFont="1" applyFill="1" applyBorder="1" applyAlignment="1">
      <alignment vertical="top"/>
    </xf>
    <xf numFmtId="168" fontId="13" fillId="16" borderId="112" xfId="4" applyNumberFormat="1" applyFont="1" applyFill="1" applyBorder="1" applyAlignment="1">
      <alignment vertical="top"/>
    </xf>
    <xf numFmtId="3" fontId="45" fillId="16" borderId="133" xfId="10" applyNumberFormat="1" applyFont="1" applyFill="1" applyBorder="1" applyAlignment="1">
      <alignment vertical="top"/>
    </xf>
    <xf numFmtId="3" fontId="45" fillId="16" borderId="134" xfId="10" applyNumberFormat="1" applyFont="1" applyFill="1" applyBorder="1" applyAlignment="1">
      <alignment vertical="top"/>
    </xf>
    <xf numFmtId="3" fontId="45" fillId="16" borderId="118" xfId="10" applyNumberFormat="1" applyFont="1" applyFill="1" applyBorder="1" applyAlignment="1">
      <alignment vertical="top"/>
    </xf>
    <xf numFmtId="168" fontId="34" fillId="16" borderId="100" xfId="4" applyNumberFormat="1" applyFont="1" applyFill="1" applyBorder="1" applyAlignment="1">
      <alignment vertical="top"/>
    </xf>
    <xf numFmtId="168" fontId="34" fillId="16" borderId="126" xfId="4" applyNumberFormat="1" applyFont="1" applyFill="1" applyBorder="1" applyAlignment="1">
      <alignment vertical="top"/>
    </xf>
    <xf numFmtId="168" fontId="34" fillId="16" borderId="137" xfId="4" applyNumberFormat="1" applyFont="1" applyFill="1" applyBorder="1" applyAlignment="1">
      <alignment vertical="top"/>
    </xf>
    <xf numFmtId="168" fontId="34" fillId="16" borderId="103" xfId="4" applyNumberFormat="1" applyFont="1" applyFill="1" applyBorder="1" applyAlignment="1">
      <alignment vertical="top"/>
    </xf>
    <xf numFmtId="168" fontId="34" fillId="16" borderId="127" xfId="4" applyNumberFormat="1" applyFont="1" applyFill="1" applyBorder="1" applyAlignment="1">
      <alignment vertical="top"/>
    </xf>
    <xf numFmtId="0" fontId="3" fillId="0" borderId="0" xfId="10" applyNumberFormat="1"/>
    <xf numFmtId="3" fontId="61" fillId="16" borderId="133" xfId="10" applyNumberFormat="1" applyFont="1" applyFill="1" applyBorder="1" applyAlignment="1">
      <alignment vertical="top"/>
    </xf>
    <xf numFmtId="168" fontId="61" fillId="16" borderId="92" xfId="4" applyNumberFormat="1" applyFont="1" applyFill="1" applyBorder="1" applyAlignment="1">
      <alignment vertical="top"/>
    </xf>
    <xf numFmtId="168" fontId="45" fillId="16" borderId="136" xfId="4" applyNumberFormat="1" applyFont="1" applyFill="1" applyBorder="1" applyAlignment="1">
      <alignment vertical="top"/>
    </xf>
    <xf numFmtId="168" fontId="45" fillId="16" borderId="94" xfId="4" applyNumberFormat="1" applyFont="1" applyFill="1" applyBorder="1" applyAlignment="1">
      <alignment vertical="top"/>
    </xf>
    <xf numFmtId="168" fontId="45" fillId="16" borderId="112" xfId="4" applyNumberFormat="1" applyFont="1" applyFill="1" applyBorder="1" applyAlignment="1">
      <alignment vertical="top"/>
    </xf>
    <xf numFmtId="168" fontId="45" fillId="5" borderId="105" xfId="4" applyNumberFormat="1" applyFont="1" applyFill="1" applyBorder="1" applyAlignment="1">
      <alignment vertical="center"/>
    </xf>
    <xf numFmtId="3" fontId="3" fillId="16" borderId="133" xfId="10" applyNumberFormat="1" applyFill="1" applyBorder="1" applyAlignment="1">
      <alignment vertical="center"/>
    </xf>
    <xf numFmtId="3" fontId="3" fillId="16" borderId="134" xfId="10" applyNumberFormat="1" applyFill="1" applyBorder="1" applyAlignment="1">
      <alignment vertical="center"/>
    </xf>
    <xf numFmtId="3" fontId="3" fillId="16" borderId="118" xfId="10" applyNumberFormat="1" applyFill="1" applyBorder="1" applyAlignment="1">
      <alignment vertical="center"/>
    </xf>
    <xf numFmtId="3" fontId="3" fillId="16" borderId="89" xfId="10" applyNumberFormat="1" applyFill="1" applyBorder="1" applyAlignment="1">
      <alignment vertical="center"/>
    </xf>
    <xf numFmtId="3" fontId="3" fillId="16" borderId="90" xfId="10" applyNumberFormat="1" applyFill="1" applyBorder="1" applyAlignment="1">
      <alignment vertical="center"/>
    </xf>
    <xf numFmtId="168" fontId="34" fillId="16" borderId="87" xfId="4" applyNumberFormat="1" applyFont="1" applyFill="1" applyBorder="1" applyAlignment="1">
      <alignment vertical="center"/>
    </xf>
    <xf numFmtId="168" fontId="34" fillId="16" borderId="129" xfId="4" applyNumberFormat="1" applyFont="1" applyFill="1" applyBorder="1" applyAlignment="1">
      <alignment vertical="center"/>
    </xf>
    <xf numFmtId="168" fontId="34" fillId="16" borderId="135" xfId="4" applyNumberFormat="1" applyFont="1" applyFill="1" applyBorder="1" applyAlignment="1">
      <alignment vertical="center"/>
    </xf>
    <xf numFmtId="168" fontId="34" fillId="16" borderId="89" xfId="4" applyNumberFormat="1" applyFont="1" applyFill="1" applyBorder="1" applyAlignment="1">
      <alignment vertical="center"/>
    </xf>
    <xf numFmtId="168" fontId="34" fillId="16" borderId="131" xfId="4" applyNumberFormat="1" applyFont="1" applyFill="1" applyBorder="1" applyAlignment="1">
      <alignment vertical="center"/>
    </xf>
    <xf numFmtId="0" fontId="3" fillId="0" borderId="0" xfId="10" applyNumberFormat="1" applyFill="1"/>
    <xf numFmtId="3" fontId="34" fillId="16" borderId="133" xfId="10" applyNumberFormat="1" applyFont="1" applyFill="1" applyBorder="1" applyAlignment="1">
      <alignment vertical="center"/>
    </xf>
    <xf numFmtId="3" fontId="34" fillId="16" borderId="134" xfId="10" applyNumberFormat="1" applyFont="1" applyFill="1" applyBorder="1" applyAlignment="1">
      <alignment vertical="center"/>
    </xf>
    <xf numFmtId="3" fontId="34" fillId="16" borderId="118" xfId="10" applyNumberFormat="1" applyFont="1" applyFill="1" applyBorder="1" applyAlignment="1">
      <alignment vertical="center"/>
    </xf>
    <xf numFmtId="3" fontId="34" fillId="16" borderId="94" xfId="10" applyNumberFormat="1" applyFont="1" applyFill="1" applyBorder="1" applyAlignment="1">
      <alignment vertical="center"/>
    </xf>
    <xf numFmtId="3" fontId="34" fillId="16" borderId="95" xfId="10" applyNumberFormat="1" applyFont="1" applyFill="1" applyBorder="1" applyAlignment="1">
      <alignment vertical="center"/>
    </xf>
    <xf numFmtId="168" fontId="34" fillId="16" borderId="92" xfId="4" applyNumberFormat="1" applyFont="1" applyFill="1" applyBorder="1" applyAlignment="1">
      <alignment vertical="center"/>
    </xf>
    <xf numFmtId="168" fontId="34" fillId="16" borderId="111" xfId="4" applyNumberFormat="1" applyFont="1" applyFill="1" applyBorder="1" applyAlignment="1">
      <alignment vertical="center"/>
    </xf>
    <xf numFmtId="168" fontId="34" fillId="16" borderId="136" xfId="4" applyNumberFormat="1" applyFont="1" applyFill="1" applyBorder="1" applyAlignment="1">
      <alignment vertical="center"/>
    </xf>
    <xf numFmtId="168" fontId="34" fillId="16" borderId="94" xfId="4" applyNumberFormat="1" applyFont="1" applyFill="1" applyBorder="1" applyAlignment="1">
      <alignment vertical="center"/>
    </xf>
    <xf numFmtId="168" fontId="34" fillId="16" borderId="112" xfId="4" applyNumberFormat="1" applyFont="1" applyFill="1" applyBorder="1" applyAlignment="1">
      <alignment vertical="center"/>
    </xf>
    <xf numFmtId="168" fontId="45" fillId="16" borderId="92" xfId="4" applyNumberFormat="1" applyFont="1" applyFill="1" applyBorder="1" applyAlignment="1">
      <alignment vertical="center"/>
    </xf>
    <xf numFmtId="168" fontId="45" fillId="16" borderId="100" xfId="4" applyNumberFormat="1" applyFont="1" applyFill="1" applyBorder="1" applyAlignment="1">
      <alignment vertical="center"/>
    </xf>
    <xf numFmtId="168" fontId="34" fillId="16" borderId="126" xfId="4" applyNumberFormat="1" applyFont="1" applyFill="1" applyBorder="1" applyAlignment="1">
      <alignment vertical="center"/>
    </xf>
    <xf numFmtId="168" fontId="34" fillId="16" borderId="137" xfId="4" applyNumberFormat="1" applyFont="1" applyFill="1" applyBorder="1" applyAlignment="1">
      <alignment vertical="center"/>
    </xf>
    <xf numFmtId="168" fontId="34" fillId="16" borderId="103" xfId="4" applyNumberFormat="1" applyFont="1" applyFill="1" applyBorder="1" applyAlignment="1">
      <alignment vertical="center"/>
    </xf>
    <xf numFmtId="168" fontId="34" fillId="16" borderId="127" xfId="4" applyNumberFormat="1" applyFont="1" applyFill="1" applyBorder="1" applyAlignment="1">
      <alignment vertical="center"/>
    </xf>
    <xf numFmtId="3" fontId="37" fillId="5" borderId="31" xfId="10" applyNumberFormat="1" applyFont="1" applyFill="1" applyBorder="1" applyAlignment="1">
      <alignment vertical="center"/>
    </xf>
    <xf numFmtId="3" fontId="37" fillId="5" borderId="106" xfId="10" applyNumberFormat="1" applyFont="1" applyFill="1" applyBorder="1" applyAlignment="1">
      <alignment vertical="center"/>
    </xf>
    <xf numFmtId="168" fontId="49" fillId="5" borderId="105" xfId="4" applyNumberFormat="1" applyFont="1" applyFill="1" applyBorder="1" applyAlignment="1">
      <alignment vertical="center"/>
    </xf>
    <xf numFmtId="168" fontId="49" fillId="5" borderId="106" xfId="4" applyNumberFormat="1" applyFont="1" applyFill="1" applyBorder="1" applyAlignment="1">
      <alignment vertical="center"/>
    </xf>
    <xf numFmtId="168" fontId="37" fillId="5" borderId="124" xfId="4" applyNumberFormat="1" applyFont="1" applyFill="1" applyBorder="1" applyAlignment="1">
      <alignment vertical="center"/>
    </xf>
    <xf numFmtId="168" fontId="37" fillId="5" borderId="106" xfId="4" applyNumberFormat="1" applyFont="1" applyFill="1" applyBorder="1" applyAlignment="1">
      <alignment vertical="center"/>
    </xf>
    <xf numFmtId="3" fontId="34" fillId="16" borderId="89" xfId="10" applyNumberFormat="1" applyFont="1" applyFill="1" applyBorder="1" applyAlignment="1">
      <alignment vertical="center"/>
    </xf>
    <xf numFmtId="3" fontId="34" fillId="16" borderId="90" xfId="10" applyNumberFormat="1" applyFont="1" applyFill="1" applyBorder="1" applyAlignment="1">
      <alignment vertical="center"/>
    </xf>
    <xf numFmtId="168" fontId="34" fillId="16" borderId="100" xfId="4" applyNumberFormat="1" applyFont="1" applyFill="1" applyBorder="1" applyAlignment="1">
      <alignment vertical="center"/>
    </xf>
    <xf numFmtId="3" fontId="49" fillId="5" borderId="106" xfId="10" applyNumberFormat="1" applyFont="1" applyFill="1" applyBorder="1" applyAlignment="1">
      <alignment vertical="center"/>
    </xf>
    <xf numFmtId="3" fontId="13" fillId="16" borderId="133" xfId="10" applyNumberFormat="1" applyFont="1" applyFill="1" applyBorder="1" applyAlignment="1">
      <alignment vertical="center"/>
    </xf>
    <xf numFmtId="3" fontId="13" fillId="16" borderId="134" xfId="10" applyNumberFormat="1" applyFont="1" applyFill="1" applyBorder="1" applyAlignment="1">
      <alignment vertical="center"/>
    </xf>
    <xf numFmtId="3" fontId="13" fillId="16" borderId="118" xfId="10" applyNumberFormat="1" applyFont="1" applyFill="1" applyBorder="1" applyAlignment="1">
      <alignment vertical="center"/>
    </xf>
    <xf numFmtId="3" fontId="13" fillId="16" borderId="94" xfId="10" applyNumberFormat="1" applyFont="1" applyFill="1" applyBorder="1" applyAlignment="1">
      <alignment vertical="center"/>
    </xf>
    <xf numFmtId="3" fontId="13" fillId="16" borderId="95" xfId="10" applyNumberFormat="1" applyFont="1" applyFill="1" applyBorder="1" applyAlignment="1">
      <alignment vertical="center"/>
    </xf>
    <xf numFmtId="168" fontId="13" fillId="16" borderId="92" xfId="4" applyNumberFormat="1" applyFont="1" applyFill="1" applyBorder="1" applyAlignment="1">
      <alignment vertical="center"/>
    </xf>
    <xf numFmtId="168" fontId="13" fillId="16" borderId="111" xfId="4" applyNumberFormat="1" applyFont="1" applyFill="1" applyBorder="1" applyAlignment="1">
      <alignment vertical="center"/>
    </xf>
    <xf numFmtId="168" fontId="13" fillId="16" borderId="136" xfId="4" applyNumberFormat="1" applyFont="1" applyFill="1" applyBorder="1" applyAlignment="1">
      <alignment vertical="center"/>
    </xf>
    <xf numFmtId="168" fontId="13" fillId="16" borderId="94" xfId="4" applyNumberFormat="1" applyFont="1" applyFill="1" applyBorder="1" applyAlignment="1">
      <alignment vertical="center"/>
    </xf>
    <xf numFmtId="168" fontId="13" fillId="16" borderId="112" xfId="4" applyNumberFormat="1" applyFont="1" applyFill="1" applyBorder="1" applyAlignment="1">
      <alignment vertical="center"/>
    </xf>
    <xf numFmtId="3" fontId="62" fillId="5" borderId="106" xfId="10" applyNumberFormat="1" applyFont="1" applyFill="1" applyBorder="1" applyAlignment="1">
      <alignment vertical="center"/>
    </xf>
    <xf numFmtId="168" fontId="4" fillId="16" borderId="87" xfId="4" applyNumberFormat="1" applyFill="1" applyBorder="1" applyAlignment="1">
      <alignment vertical="center"/>
    </xf>
    <xf numFmtId="168" fontId="4" fillId="16" borderId="129" xfId="4" applyNumberFormat="1" applyFill="1" applyBorder="1" applyAlignment="1">
      <alignment vertical="center"/>
    </xf>
    <xf numFmtId="168" fontId="4" fillId="16" borderId="135" xfId="4" applyNumberFormat="1" applyFill="1" applyBorder="1" applyAlignment="1">
      <alignment vertical="center"/>
    </xf>
    <xf numFmtId="168" fontId="4" fillId="16" borderId="89" xfId="4" applyNumberFormat="1" applyFill="1" applyBorder="1" applyAlignment="1">
      <alignment vertical="center"/>
    </xf>
    <xf numFmtId="168" fontId="4" fillId="16" borderId="131" xfId="4" applyNumberFormat="1" applyFill="1" applyBorder="1" applyAlignment="1">
      <alignment vertical="center"/>
    </xf>
    <xf numFmtId="3" fontId="45" fillId="5" borderId="31" xfId="10" applyNumberFormat="1" applyFont="1" applyFill="1" applyBorder="1" applyAlignment="1">
      <alignment vertical="center"/>
    </xf>
    <xf numFmtId="9" fontId="34" fillId="5" borderId="124" xfId="4" applyFont="1" applyFill="1" applyBorder="1" applyAlignment="1">
      <alignment vertical="center"/>
    </xf>
    <xf numFmtId="0" fontId="0" fillId="0" borderId="0" xfId="0" applyFont="1" applyAlignment="1"/>
    <xf numFmtId="3" fontId="69" fillId="13" borderId="77" xfId="0" applyNumberFormat="1" applyFont="1" applyFill="1" applyBorder="1" applyAlignment="1">
      <alignment horizontal="left" vertical="top" wrapText="1"/>
    </xf>
    <xf numFmtId="9" fontId="69" fillId="13" borderId="77" xfId="0" applyNumberFormat="1" applyFont="1" applyFill="1" applyBorder="1" applyAlignment="1">
      <alignment horizontal="left" vertical="top" wrapText="1"/>
    </xf>
    <xf numFmtId="0" fontId="69" fillId="13" borderId="77" xfId="0" applyFont="1" applyFill="1" applyBorder="1" applyAlignment="1">
      <alignment horizontal="left" vertical="top" wrapText="1"/>
    </xf>
    <xf numFmtId="0" fontId="69" fillId="12" borderId="77" xfId="0" applyFont="1" applyFill="1" applyBorder="1" applyAlignment="1">
      <alignment horizontal="left" vertical="top" wrapText="1"/>
    </xf>
    <xf numFmtId="9" fontId="69" fillId="12" borderId="77" xfId="0" applyNumberFormat="1" applyFont="1" applyFill="1" applyBorder="1" applyAlignment="1">
      <alignment horizontal="left" vertical="top" wrapText="1"/>
    </xf>
    <xf numFmtId="3" fontId="69" fillId="12" borderId="77" xfId="0" applyNumberFormat="1" applyFont="1" applyFill="1" applyBorder="1" applyAlignment="1">
      <alignment horizontal="left" vertical="top" wrapText="1"/>
    </xf>
    <xf numFmtId="0" fontId="68" fillId="23" borderId="60" xfId="0" applyFont="1" applyFill="1" applyBorder="1" applyAlignment="1">
      <alignment horizontal="left" vertical="center" wrapText="1"/>
    </xf>
    <xf numFmtId="0" fontId="68" fillId="23" borderId="61" xfId="0" applyFont="1" applyFill="1" applyBorder="1" applyAlignment="1">
      <alignment horizontal="left" vertical="center" wrapText="1"/>
    </xf>
    <xf numFmtId="0" fontId="68" fillId="23" borderId="62" xfId="0" applyFont="1" applyFill="1" applyBorder="1" applyAlignment="1">
      <alignment horizontal="left" vertical="center" wrapText="1"/>
    </xf>
    <xf numFmtId="0" fontId="69" fillId="13" borderId="76" xfId="0" applyFont="1" applyFill="1" applyBorder="1" applyAlignment="1">
      <alignment horizontal="left" vertical="top" wrapText="1"/>
    </xf>
    <xf numFmtId="3" fontId="69" fillId="13" borderId="78" xfId="0" applyNumberFormat="1" applyFont="1" applyFill="1" applyBorder="1" applyAlignment="1">
      <alignment horizontal="left" vertical="top" wrapText="1"/>
    </xf>
    <xf numFmtId="0" fontId="69" fillId="12" borderId="76" xfId="0" applyFont="1" applyFill="1" applyBorder="1" applyAlignment="1">
      <alignment horizontal="left" vertical="top" wrapText="1"/>
    </xf>
    <xf numFmtId="3" fontId="69" fillId="12" borderId="78" xfId="0" applyNumberFormat="1" applyFont="1" applyFill="1" applyBorder="1" applyAlignment="1">
      <alignment horizontal="left" vertical="top" wrapText="1"/>
    </xf>
    <xf numFmtId="0" fontId="69" fillId="12" borderId="78" xfId="0" applyFont="1" applyFill="1" applyBorder="1" applyAlignment="1">
      <alignment horizontal="left" vertical="top" wrapText="1"/>
    </xf>
    <xf numFmtId="0" fontId="69" fillId="13" borderId="113" xfId="0" applyFont="1" applyFill="1" applyBorder="1" applyAlignment="1">
      <alignment horizontal="left" vertical="top" wrapText="1"/>
    </xf>
    <xf numFmtId="3" fontId="69" fillId="13" borderId="114" xfId="0" applyNumberFormat="1" applyFont="1" applyFill="1" applyBorder="1" applyAlignment="1">
      <alignment horizontal="left" vertical="top" wrapText="1"/>
    </xf>
    <xf numFmtId="9" fontId="69" fillId="13" borderId="114" xfId="0" applyNumberFormat="1" applyFont="1" applyFill="1" applyBorder="1" applyAlignment="1">
      <alignment horizontal="left" vertical="top" wrapText="1"/>
    </xf>
    <xf numFmtId="0" fontId="69" fillId="13" borderId="114" xfId="0" applyFont="1" applyFill="1" applyBorder="1" applyAlignment="1">
      <alignment horizontal="left" vertical="top" wrapText="1"/>
    </xf>
    <xf numFmtId="3" fontId="69" fillId="13" borderId="115" xfId="0" applyNumberFormat="1" applyFont="1" applyFill="1" applyBorder="1" applyAlignment="1">
      <alignment horizontal="left" vertical="top" wrapText="1"/>
    </xf>
    <xf numFmtId="0" fontId="70" fillId="12" borderId="69" xfId="0" applyFont="1" applyFill="1" applyBorder="1" applyAlignment="1">
      <alignment horizontal="left" vertical="center" wrapText="1"/>
    </xf>
    <xf numFmtId="0" fontId="70" fillId="12" borderId="70" xfId="0" applyFont="1" applyFill="1" applyBorder="1" applyAlignment="1">
      <alignment horizontal="left" vertical="center" wrapText="1"/>
    </xf>
    <xf numFmtId="0" fontId="70" fillId="12" borderId="71" xfId="0" applyFont="1" applyFill="1" applyBorder="1" applyAlignment="1">
      <alignment horizontal="left" vertical="center" wrapText="1"/>
    </xf>
    <xf numFmtId="0" fontId="70" fillId="13" borderId="96" xfId="0" applyFont="1" applyFill="1" applyBorder="1" applyAlignment="1">
      <alignment horizontal="left" vertical="center" wrapText="1"/>
    </xf>
    <xf numFmtId="0" fontId="70" fillId="13" borderId="97" xfId="0" applyFont="1" applyFill="1" applyBorder="1" applyAlignment="1">
      <alignment horizontal="left" vertical="center" wrapText="1"/>
    </xf>
    <xf numFmtId="0" fontId="70" fillId="13" borderId="98" xfId="0" applyFont="1" applyFill="1" applyBorder="1" applyAlignment="1">
      <alignment horizontal="left" vertical="center" wrapText="1"/>
    </xf>
    <xf numFmtId="0" fontId="70" fillId="12" borderId="96" xfId="0" applyFont="1" applyFill="1" applyBorder="1" applyAlignment="1">
      <alignment horizontal="left" vertical="center" wrapText="1"/>
    </xf>
    <xf numFmtId="0" fontId="70" fillId="12" borderId="97" xfId="0" applyFont="1" applyFill="1" applyBorder="1" applyAlignment="1">
      <alignment horizontal="left" vertical="center" wrapText="1"/>
    </xf>
    <xf numFmtId="0" fontId="70" fillId="12" borderId="98" xfId="0" applyFont="1" applyFill="1" applyBorder="1" applyAlignment="1">
      <alignment horizontal="left" vertical="center" wrapText="1"/>
    </xf>
    <xf numFmtId="0" fontId="71" fillId="24" borderId="0" xfId="0" applyFont="1" applyFill="1"/>
    <xf numFmtId="1" fontId="12" fillId="0" borderId="0" xfId="0" applyNumberFormat="1" applyFont="1"/>
    <xf numFmtId="0" fontId="0" fillId="0" borderId="0" xfId="0" applyFont="1"/>
    <xf numFmtId="2" fontId="12" fillId="0" borderId="0" xfId="0" applyNumberFormat="1" applyFont="1"/>
    <xf numFmtId="0" fontId="69" fillId="12" borderId="113" xfId="0" applyFont="1" applyFill="1" applyBorder="1" applyAlignment="1">
      <alignment horizontal="left" vertical="top" wrapText="1"/>
    </xf>
    <xf numFmtId="3" fontId="69" fillId="12" borderId="114" xfId="0" applyNumberFormat="1" applyFont="1" applyFill="1" applyBorder="1" applyAlignment="1">
      <alignment horizontal="left" vertical="top" wrapText="1"/>
    </xf>
    <xf numFmtId="9" fontId="69" fillId="12" borderId="114" xfId="0" applyNumberFormat="1" applyFont="1" applyFill="1" applyBorder="1" applyAlignment="1">
      <alignment horizontal="left" vertical="top" wrapText="1"/>
    </xf>
    <xf numFmtId="0" fontId="69" fillId="12" borderId="114" xfId="0" applyFont="1" applyFill="1" applyBorder="1" applyAlignment="1">
      <alignment horizontal="left" vertical="top" wrapText="1"/>
    </xf>
    <xf numFmtId="3" fontId="69" fillId="12" borderId="115" xfId="0" applyNumberFormat="1" applyFont="1" applyFill="1" applyBorder="1" applyAlignment="1">
      <alignment horizontal="left" vertical="top" wrapText="1"/>
    </xf>
    <xf numFmtId="0" fontId="72" fillId="0" borderId="0" xfId="0" applyFont="1"/>
    <xf numFmtId="0" fontId="40" fillId="17" borderId="81" xfId="10" applyFont="1" applyFill="1" applyBorder="1" applyAlignment="1">
      <alignment horizontal="center"/>
    </xf>
    <xf numFmtId="167" fontId="5" fillId="0" borderId="0" xfId="0" applyNumberFormat="1" applyFont="1" applyAlignment="1">
      <alignment horizontal="right" vertical="center"/>
    </xf>
    <xf numFmtId="0" fontId="37" fillId="17" borderId="0" xfId="10" applyFont="1" applyFill="1" applyBorder="1" applyAlignment="1">
      <alignment horizontal="center"/>
    </xf>
    <xf numFmtId="0" fontId="34" fillId="16" borderId="0" xfId="10" applyFont="1" applyFill="1" applyBorder="1" applyAlignment="1">
      <alignment horizontal="center"/>
    </xf>
    <xf numFmtId="173" fontId="0" fillId="0" borderId="0" xfId="0" applyNumberFormat="1"/>
    <xf numFmtId="0" fontId="3" fillId="17" borderId="52" xfId="10" applyFill="1" applyBorder="1" applyAlignment="1">
      <alignment horizontal="center" textRotation="90" wrapText="1"/>
    </xf>
    <xf numFmtId="0" fontId="3" fillId="17" borderId="6" xfId="10" applyFill="1" applyBorder="1" applyAlignment="1">
      <alignment horizontal="center" textRotation="90" wrapText="1"/>
    </xf>
    <xf numFmtId="0" fontId="37" fillId="16" borderId="44" xfId="10" applyFont="1" applyFill="1" applyBorder="1" applyAlignment="1">
      <alignment horizontal="center"/>
    </xf>
    <xf numFmtId="3" fontId="34" fillId="5" borderId="106" xfId="10" applyNumberFormat="1" applyFont="1" applyFill="1" applyBorder="1" applyAlignment="1">
      <alignment vertical="center"/>
    </xf>
    <xf numFmtId="9" fontId="34" fillId="17" borderId="52" xfId="4" applyFont="1" applyFill="1" applyBorder="1" applyAlignment="1">
      <alignment horizontal="center" textRotation="90" wrapText="1"/>
    </xf>
    <xf numFmtId="9" fontId="34" fillId="17" borderId="6" xfId="4" applyFont="1" applyFill="1" applyBorder="1" applyAlignment="1">
      <alignment horizontal="center" vertical="center" wrapText="1"/>
    </xf>
    <xf numFmtId="2" fontId="37" fillId="17" borderId="0" xfId="4" applyNumberFormat="1" applyFont="1" applyFill="1" applyBorder="1" applyAlignment="1">
      <alignment horizontal="center" vertical="center" wrapText="1"/>
    </xf>
    <xf numFmtId="3" fontId="3" fillId="16" borderId="0" xfId="10" applyNumberFormat="1" applyFill="1" applyBorder="1"/>
    <xf numFmtId="3" fontId="3" fillId="5" borderId="38" xfId="10" applyNumberFormat="1" applyFill="1" applyBorder="1" applyAlignment="1">
      <alignment vertical="center"/>
    </xf>
    <xf numFmtId="3" fontId="3" fillId="16" borderId="40" xfId="10" applyNumberFormat="1" applyFill="1" applyBorder="1"/>
    <xf numFmtId="3" fontId="3" fillId="16" borderId="45" xfId="10" applyNumberFormat="1" applyFill="1" applyBorder="1"/>
    <xf numFmtId="0" fontId="73" fillId="0" borderId="0" xfId="0" applyFont="1" applyAlignment="1"/>
    <xf numFmtId="0" fontId="74" fillId="25" borderId="29" xfId="0" applyFont="1" applyFill="1" applyBorder="1" applyAlignment="1">
      <alignment vertical="center"/>
    </xf>
    <xf numFmtId="0" fontId="74" fillId="25" borderId="33" xfId="0" applyFont="1" applyFill="1" applyBorder="1" applyAlignment="1">
      <alignment horizontal="right" vertical="center"/>
    </xf>
    <xf numFmtId="0" fontId="74" fillId="25" borderId="149" xfId="0" applyFont="1" applyFill="1" applyBorder="1" applyAlignment="1">
      <alignment horizontal="right" vertical="center" wrapText="1"/>
    </xf>
    <xf numFmtId="0" fontId="74" fillId="25" borderId="150" xfId="0" applyFont="1" applyFill="1" applyBorder="1" applyAlignment="1">
      <alignment horizontal="right" vertical="center" wrapText="1"/>
    </xf>
    <xf numFmtId="0" fontId="75" fillId="0" borderId="13" xfId="0" applyFont="1" applyBorder="1" applyAlignment="1">
      <alignment vertical="center"/>
    </xf>
    <xf numFmtId="3" fontId="75" fillId="0" borderId="151" xfId="0" applyNumberFormat="1" applyFont="1" applyBorder="1" applyAlignment="1">
      <alignment horizontal="right" vertical="center" wrapText="1"/>
    </xf>
    <xf numFmtId="3" fontId="75" fillId="0" borderId="152" xfId="0" applyNumberFormat="1" applyFont="1" applyBorder="1" applyAlignment="1">
      <alignment horizontal="right" vertical="center" wrapText="1"/>
    </xf>
    <xf numFmtId="0" fontId="75" fillId="0" borderId="25" xfId="0" applyFont="1" applyBorder="1" applyAlignment="1">
      <alignment vertical="center"/>
    </xf>
    <xf numFmtId="0" fontId="74" fillId="5" borderId="29" xfId="0" applyFont="1" applyFill="1" applyBorder="1" applyAlignment="1">
      <alignment vertical="center"/>
    </xf>
    <xf numFmtId="3" fontId="74" fillId="5" borderId="151" xfId="0" applyNumberFormat="1" applyFont="1" applyFill="1" applyBorder="1" applyAlignment="1">
      <alignment horizontal="right" vertical="center" wrapText="1"/>
    </xf>
    <xf numFmtId="3" fontId="75" fillId="0" borderId="2" xfId="0" applyNumberFormat="1" applyFont="1" applyBorder="1" applyAlignment="1">
      <alignment horizontal="right" vertical="center"/>
    </xf>
    <xf numFmtId="3" fontId="75" fillId="0" borderId="38" xfId="0" applyNumberFormat="1" applyFont="1" applyBorder="1" applyAlignment="1">
      <alignment horizontal="right" vertical="center"/>
    </xf>
    <xf numFmtId="3" fontId="75" fillId="0" borderId="13" xfId="0" applyNumberFormat="1" applyFont="1" applyBorder="1" applyAlignment="1">
      <alignment horizontal="right" vertical="center"/>
    </xf>
    <xf numFmtId="3" fontId="75" fillId="0" borderId="152" xfId="0" applyNumberFormat="1" applyFont="1" applyBorder="1" applyAlignment="1">
      <alignment horizontal="right" vertical="center"/>
    </xf>
    <xf numFmtId="3" fontId="75" fillId="0" borderId="0" xfId="0" applyNumberFormat="1" applyFont="1" applyAlignment="1">
      <alignment horizontal="right" vertical="center"/>
    </xf>
    <xf numFmtId="3" fontId="75" fillId="0" borderId="25" xfId="0" applyNumberFormat="1" applyFont="1" applyBorder="1" applyAlignment="1">
      <alignment horizontal="right" vertical="center"/>
    </xf>
    <xf numFmtId="3" fontId="74" fillId="5" borderId="152" xfId="0" applyNumberFormat="1" applyFont="1" applyFill="1" applyBorder="1" applyAlignment="1">
      <alignment horizontal="right" vertical="center"/>
    </xf>
    <xf numFmtId="3" fontId="74" fillId="5" borderId="106" xfId="0" applyNumberFormat="1" applyFont="1" applyFill="1" applyBorder="1" applyAlignment="1">
      <alignment horizontal="right" vertical="center"/>
    </xf>
    <xf numFmtId="3" fontId="74" fillId="5" borderId="29" xfId="0" applyNumberFormat="1" applyFont="1" applyFill="1" applyBorder="1" applyAlignment="1">
      <alignment horizontal="right" vertical="center"/>
    </xf>
    <xf numFmtId="3" fontId="16" fillId="7" borderId="0" xfId="0" applyNumberFormat="1" applyFont="1" applyFill="1" applyBorder="1" applyAlignment="1">
      <alignment horizontal="right" vertical="center"/>
    </xf>
    <xf numFmtId="3" fontId="76" fillId="0" borderId="0" xfId="0" applyNumberFormat="1" applyFont="1" applyAlignment="1">
      <alignment horizontal="right" vertical="center"/>
    </xf>
    <xf numFmtId="4" fontId="0" fillId="0" borderId="0" xfId="0" applyNumberFormat="1" applyFont="1" applyAlignment="1"/>
    <xf numFmtId="167" fontId="16" fillId="5" borderId="0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Font="1" applyAlignment="1"/>
    <xf numFmtId="2" fontId="0" fillId="0" borderId="0" xfId="0" applyNumberFormat="1" applyFont="1" applyAlignment="1"/>
    <xf numFmtId="167" fontId="8" fillId="4" borderId="0" xfId="0" applyNumberFormat="1" applyFont="1" applyFill="1" applyAlignment="1">
      <alignment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67" fontId="11" fillId="3" borderId="1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167" fontId="11" fillId="0" borderId="1" xfId="0" applyNumberFormat="1" applyFont="1" applyFill="1" applyBorder="1" applyAlignment="1">
      <alignment horizontal="right" vertical="center"/>
    </xf>
    <xf numFmtId="1" fontId="11" fillId="0" borderId="0" xfId="0" applyNumberFormat="1" applyFont="1" applyFill="1" applyBorder="1" applyAlignment="1">
      <alignment horizontal="right" vertical="center"/>
    </xf>
    <xf numFmtId="43" fontId="5" fillId="0" borderId="1" xfId="0" applyNumberFormat="1" applyFont="1" applyFill="1" applyBorder="1" applyAlignment="1">
      <alignment horizontal="right" vertical="center"/>
    </xf>
    <xf numFmtId="172" fontId="5" fillId="0" borderId="0" xfId="0" applyNumberFormat="1" applyFont="1" applyFill="1" applyBorder="1" applyAlignment="1">
      <alignment horizontal="right" vertical="center"/>
    </xf>
    <xf numFmtId="2" fontId="16" fillId="7" borderId="0" xfId="0" applyNumberFormat="1" applyFont="1" applyFill="1" applyBorder="1" applyAlignment="1">
      <alignment horizontal="right" vertical="center"/>
    </xf>
    <xf numFmtId="1" fontId="28" fillId="0" borderId="0" xfId="0" applyNumberFormat="1" applyFont="1" applyFill="1" applyBorder="1" applyAlignment="1"/>
    <xf numFmtId="169" fontId="3" fillId="16" borderId="0" xfId="10" applyNumberFormat="1" applyFill="1" applyBorder="1"/>
    <xf numFmtId="181" fontId="34" fillId="5" borderId="31" xfId="20" applyNumberFormat="1" applyFont="1" applyFill="1" applyBorder="1" applyAlignment="1">
      <alignment vertical="center"/>
    </xf>
    <xf numFmtId="182" fontId="34" fillId="5" borderId="31" xfId="10" applyNumberFormat="1" applyFont="1" applyFill="1" applyBorder="1" applyAlignment="1">
      <alignment vertical="center"/>
    </xf>
    <xf numFmtId="180" fontId="57" fillId="20" borderId="4" xfId="0" applyNumberFormat="1" applyFont="1" applyFill="1" applyBorder="1" applyAlignment="1">
      <alignment horizontal="right"/>
    </xf>
    <xf numFmtId="167" fontId="0" fillId="0" borderId="0" xfId="0" applyNumberFormat="1" applyFont="1" applyAlignment="1"/>
    <xf numFmtId="180" fontId="0" fillId="0" borderId="0" xfId="0" applyNumberFormat="1"/>
    <xf numFmtId="183" fontId="0" fillId="0" borderId="0" xfId="0" applyNumberFormat="1"/>
    <xf numFmtId="179" fontId="5" fillId="0" borderId="0" xfId="0" applyNumberFormat="1" applyFont="1" applyFill="1" applyBorder="1" applyAlignment="1">
      <alignment horizontal="right" vertical="center"/>
    </xf>
    <xf numFmtId="0" fontId="20" fillId="0" borderId="0" xfId="6" applyBorder="1" applyAlignment="1"/>
    <xf numFmtId="0" fontId="20" fillId="0" borderId="0" xfId="6" applyAlignment="1"/>
    <xf numFmtId="0" fontId="0" fillId="0" borderId="6" xfId="0" applyFont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5" fillId="0" borderId="65" xfId="17" applyFont="1" applyBorder="1" applyAlignment="1">
      <alignment horizontal="center" vertical="center" textRotation="90"/>
    </xf>
    <xf numFmtId="0" fontId="35" fillId="0" borderId="82" xfId="17" applyFont="1" applyBorder="1" applyAlignment="1">
      <alignment horizontal="center" vertical="center" textRotation="90"/>
    </xf>
    <xf numFmtId="0" fontId="44" fillId="0" borderId="125" xfId="17" applyFont="1" applyBorder="1" applyAlignment="1">
      <alignment horizontal="center" vertical="center" textRotation="90" wrapText="1"/>
    </xf>
    <xf numFmtId="0" fontId="44" fillId="0" borderId="73" xfId="17" applyFont="1" applyBorder="1" applyAlignment="1">
      <alignment horizontal="center" vertical="center" textRotation="90" wrapText="1"/>
    </xf>
    <xf numFmtId="0" fontId="44" fillId="0" borderId="123" xfId="17" applyFont="1" applyBorder="1" applyAlignment="1">
      <alignment horizontal="center" vertical="center" textRotation="90" wrapText="1"/>
    </xf>
    <xf numFmtId="0" fontId="34" fillId="5" borderId="138" xfId="17" applyFont="1" applyFill="1" applyBorder="1" applyAlignment="1">
      <alignment horizontal="right" vertical="center"/>
    </xf>
    <xf numFmtId="0" fontId="34" fillId="5" borderId="105" xfId="17" applyFont="1" applyFill="1" applyBorder="1" applyAlignment="1">
      <alignment horizontal="right" vertical="center"/>
    </xf>
    <xf numFmtId="0" fontId="35" fillId="0" borderId="65" xfId="17" applyNumberFormat="1" applyFont="1" applyBorder="1" applyAlignment="1">
      <alignment horizontal="center" vertical="center" textRotation="90"/>
    </xf>
    <xf numFmtId="0" fontId="35" fillId="0" borderId="82" xfId="17" applyNumberFormat="1" applyFont="1" applyBorder="1" applyAlignment="1">
      <alignment horizontal="center" vertical="center" textRotation="90"/>
    </xf>
    <xf numFmtId="0" fontId="44" fillId="0" borderId="125" xfId="17" applyNumberFormat="1" applyFont="1" applyBorder="1" applyAlignment="1">
      <alignment horizontal="center" vertical="center" textRotation="90" wrapText="1"/>
    </xf>
    <xf numFmtId="0" fontId="44" fillId="0" borderId="73" xfId="17" applyNumberFormat="1" applyFont="1" applyBorder="1" applyAlignment="1">
      <alignment horizontal="center" vertical="center" textRotation="90" wrapText="1"/>
    </xf>
    <xf numFmtId="0" fontId="44" fillId="0" borderId="123" xfId="17" applyNumberFormat="1" applyFont="1" applyBorder="1" applyAlignment="1">
      <alignment horizontal="center" vertical="center" textRotation="90" wrapText="1"/>
    </xf>
    <xf numFmtId="0" fontId="34" fillId="5" borderId="138" xfId="17" applyNumberFormat="1" applyFont="1" applyFill="1" applyBorder="1" applyAlignment="1">
      <alignment horizontal="right" vertical="center"/>
    </xf>
    <xf numFmtId="0" fontId="34" fillId="5" borderId="105" xfId="17" applyNumberFormat="1" applyFont="1" applyFill="1" applyBorder="1" applyAlignment="1">
      <alignment horizontal="right" vertical="center"/>
    </xf>
    <xf numFmtId="0" fontId="35" fillId="0" borderId="65" xfId="0" applyNumberFormat="1" applyFont="1" applyFill="1" applyBorder="1" applyAlignment="1">
      <alignment horizontal="center" vertical="center" textRotation="90"/>
    </xf>
    <xf numFmtId="0" fontId="35" fillId="0" borderId="82" xfId="0" applyNumberFormat="1" applyFont="1" applyFill="1" applyBorder="1" applyAlignment="1">
      <alignment horizontal="center" vertical="center" textRotation="90"/>
    </xf>
    <xf numFmtId="0" fontId="44" fillId="0" borderId="125" xfId="0" applyNumberFormat="1" applyFont="1" applyFill="1" applyBorder="1" applyAlignment="1">
      <alignment horizontal="center" vertical="center" textRotation="90" wrapText="1"/>
    </xf>
    <xf numFmtId="0" fontId="44" fillId="0" borderId="73" xfId="0" applyNumberFormat="1" applyFont="1" applyFill="1" applyBorder="1" applyAlignment="1">
      <alignment horizontal="center" vertical="center" textRotation="90" wrapText="1"/>
    </xf>
    <xf numFmtId="0" fontId="44" fillId="0" borderId="123" xfId="0" applyNumberFormat="1" applyFont="1" applyFill="1" applyBorder="1" applyAlignment="1">
      <alignment horizontal="center" vertical="center" textRotation="90" wrapText="1"/>
    </xf>
    <xf numFmtId="0" fontId="34" fillId="14" borderId="138" xfId="0" applyNumberFormat="1" applyFont="1" applyFill="1" applyBorder="1" applyAlignment="1">
      <alignment horizontal="right" vertical="center"/>
    </xf>
    <xf numFmtId="0" fontId="34" fillId="14" borderId="105" xfId="0" applyNumberFormat="1" applyFont="1" applyFill="1" applyBorder="1" applyAlignment="1">
      <alignment horizontal="right" vertical="center"/>
    </xf>
    <xf numFmtId="0" fontId="35" fillId="0" borderId="85" xfId="0" applyNumberFormat="1" applyFont="1" applyFill="1" applyBorder="1" applyAlignment="1">
      <alignment horizontal="center" vertical="center" textRotation="90" wrapText="1"/>
    </xf>
    <xf numFmtId="0" fontId="35" fillId="0" borderId="65" xfId="0" applyNumberFormat="1" applyFont="1" applyFill="1" applyBorder="1" applyAlignment="1">
      <alignment horizontal="center" vertical="center" textRotation="90" wrapText="1"/>
    </xf>
    <xf numFmtId="0" fontId="35" fillId="0" borderId="82" xfId="0" applyNumberFormat="1" applyFont="1" applyFill="1" applyBorder="1" applyAlignment="1">
      <alignment horizontal="center" vertical="center" textRotation="90" wrapText="1"/>
    </xf>
    <xf numFmtId="0" fontId="35" fillId="0" borderId="80" xfId="0" applyNumberFormat="1" applyFont="1" applyFill="1" applyBorder="1" applyAlignment="1">
      <alignment horizontal="center" vertical="center" textRotation="90"/>
    </xf>
    <xf numFmtId="0" fontId="41" fillId="0" borderId="73" xfId="0" applyNumberFormat="1" applyFont="1" applyFill="1" applyBorder="1" applyAlignment="1">
      <alignment horizontal="center" vertical="center" textRotation="90" wrapText="1"/>
    </xf>
    <xf numFmtId="0" fontId="41" fillId="0" borderId="123" xfId="0" applyNumberFormat="1" applyFont="1" applyFill="1" applyBorder="1" applyAlignment="1">
      <alignment horizontal="center" vertical="center" textRotation="90" wrapText="1"/>
    </xf>
    <xf numFmtId="0" fontId="35" fillId="0" borderId="44" xfId="0" applyNumberFormat="1" applyFont="1" applyFill="1" applyBorder="1" applyAlignment="1">
      <alignment horizontal="center" vertical="center" textRotation="90"/>
    </xf>
    <xf numFmtId="0" fontId="35" fillId="0" borderId="85" xfId="0" applyNumberFormat="1" applyFont="1" applyFill="1" applyBorder="1" applyAlignment="1">
      <alignment horizontal="center" vertical="center" textRotation="90"/>
    </xf>
    <xf numFmtId="0" fontId="44" fillId="0" borderId="9" xfId="0" applyNumberFormat="1" applyFont="1" applyFill="1" applyBorder="1" applyAlignment="1">
      <alignment horizontal="center" vertical="center" textRotation="90" wrapText="1"/>
    </xf>
    <xf numFmtId="0" fontId="44" fillId="0" borderId="25" xfId="0" applyNumberFormat="1" applyFont="1" applyFill="1" applyBorder="1" applyAlignment="1">
      <alignment horizontal="center" vertical="center" textRotation="90" wrapText="1"/>
    </xf>
    <xf numFmtId="0" fontId="44" fillId="0" borderId="13" xfId="0" applyNumberFormat="1" applyFont="1" applyFill="1" applyBorder="1" applyAlignment="1">
      <alignment horizontal="center" vertical="center" textRotation="90" wrapText="1"/>
    </xf>
    <xf numFmtId="0" fontId="38" fillId="13" borderId="96" xfId="0" applyFont="1" applyFill="1" applyBorder="1" applyAlignment="1">
      <alignment horizontal="left" vertical="center" wrapText="1" indent="1"/>
    </xf>
    <xf numFmtId="0" fontId="38" fillId="13" borderId="97" xfId="0" applyFont="1" applyFill="1" applyBorder="1" applyAlignment="1">
      <alignment horizontal="left" vertical="center" wrapText="1" indent="1"/>
    </xf>
    <xf numFmtId="0" fontId="38" fillId="13" borderId="98" xfId="0" applyFont="1" applyFill="1" applyBorder="1" applyAlignment="1">
      <alignment horizontal="left" vertical="center" wrapText="1" indent="1"/>
    </xf>
    <xf numFmtId="0" fontId="38" fillId="12" borderId="96" xfId="0" applyFont="1" applyFill="1" applyBorder="1" applyAlignment="1">
      <alignment horizontal="left" vertical="center" wrapText="1" indent="1"/>
    </xf>
    <xf numFmtId="0" fontId="38" fillId="12" borderId="97" xfId="0" applyFont="1" applyFill="1" applyBorder="1" applyAlignment="1">
      <alignment horizontal="left" vertical="center" wrapText="1" indent="1"/>
    </xf>
    <xf numFmtId="0" fontId="38" fillId="12" borderId="98" xfId="0" applyFont="1" applyFill="1" applyBorder="1" applyAlignment="1">
      <alignment horizontal="left" vertical="center" wrapText="1" indent="1"/>
    </xf>
    <xf numFmtId="0" fontId="33" fillId="0" borderId="38" xfId="0" applyFont="1" applyFill="1" applyBorder="1" applyAlignment="1">
      <alignment horizontal="center"/>
    </xf>
    <xf numFmtId="0" fontId="34" fillId="0" borderId="39" xfId="0" applyFont="1" applyFill="1" applyBorder="1" applyAlignment="1">
      <alignment horizontal="center"/>
    </xf>
    <xf numFmtId="0" fontId="34" fillId="0" borderId="40" xfId="0" applyFont="1" applyFill="1" applyBorder="1" applyAlignment="1">
      <alignment horizontal="center"/>
    </xf>
    <xf numFmtId="0" fontId="34" fillId="0" borderId="44" xfId="0" applyFont="1" applyFill="1" applyBorder="1" applyAlignment="1">
      <alignment horizontal="center"/>
    </xf>
    <xf numFmtId="0" fontId="34" fillId="0" borderId="45" xfId="0" applyFont="1" applyFill="1" applyBorder="1" applyAlignment="1">
      <alignment horizontal="center"/>
    </xf>
    <xf numFmtId="0" fontId="34" fillId="0" borderId="54" xfId="0" applyFont="1" applyFill="1" applyBorder="1" applyAlignment="1">
      <alignment horizontal="center"/>
    </xf>
    <xf numFmtId="0" fontId="34" fillId="0" borderId="55" xfId="0" applyFont="1" applyFill="1" applyBorder="1" applyAlignment="1">
      <alignment horizontal="center"/>
    </xf>
    <xf numFmtId="0" fontId="35" fillId="9" borderId="41" xfId="0" applyFont="1" applyFill="1" applyBorder="1" applyAlignment="1">
      <alignment horizontal="center"/>
    </xf>
    <xf numFmtId="0" fontId="35" fillId="9" borderId="42" xfId="0" applyFont="1" applyFill="1" applyBorder="1" applyAlignment="1">
      <alignment horizontal="center"/>
    </xf>
    <xf numFmtId="0" fontId="35" fillId="9" borderId="43" xfId="0" applyFont="1" applyFill="1" applyBorder="1" applyAlignment="1">
      <alignment horizontal="center"/>
    </xf>
    <xf numFmtId="0" fontId="34" fillId="9" borderId="50" xfId="0" applyFont="1" applyFill="1" applyBorder="1" applyAlignment="1">
      <alignment horizontal="center" textRotation="90" wrapText="1"/>
    </xf>
    <xf numFmtId="0" fontId="35" fillId="9" borderId="44" xfId="0" applyFont="1" applyFill="1" applyBorder="1" applyAlignment="1">
      <alignment horizontal="center" textRotation="90" wrapText="1"/>
    </xf>
    <xf numFmtId="0" fontId="35" fillId="9" borderId="54" xfId="0" applyFont="1" applyFill="1" applyBorder="1" applyAlignment="1">
      <alignment horizontal="center" textRotation="90" wrapText="1"/>
    </xf>
    <xf numFmtId="0" fontId="35" fillId="9" borderId="51" xfId="0" applyFont="1" applyFill="1" applyBorder="1" applyAlignment="1">
      <alignment horizontal="center"/>
    </xf>
    <xf numFmtId="0" fontId="35" fillId="9" borderId="52" xfId="0" applyFont="1" applyFill="1" applyBorder="1" applyAlignment="1">
      <alignment horizontal="center"/>
    </xf>
    <xf numFmtId="0" fontId="35" fillId="9" borderId="53" xfId="0" applyFont="1" applyFill="1" applyBorder="1" applyAlignment="1">
      <alignment horizontal="center"/>
    </xf>
    <xf numFmtId="0" fontId="34" fillId="9" borderId="63" xfId="0" applyFont="1" applyFill="1" applyBorder="1" applyAlignment="1">
      <alignment horizontal="center"/>
    </xf>
    <xf numFmtId="0" fontId="34" fillId="9" borderId="64" xfId="0" applyFont="1" applyFill="1" applyBorder="1" applyAlignment="1">
      <alignment horizontal="center"/>
    </xf>
    <xf numFmtId="0" fontId="34" fillId="9" borderId="68" xfId="0" applyFont="1" applyFill="1" applyBorder="1" applyAlignment="1">
      <alignment horizontal="center"/>
    </xf>
    <xf numFmtId="0" fontId="34" fillId="9" borderId="53" xfId="0" applyFont="1" applyFill="1" applyBorder="1" applyAlignment="1">
      <alignment horizontal="center"/>
    </xf>
    <xf numFmtId="0" fontId="38" fillId="12" borderId="69" xfId="0" applyFont="1" applyFill="1" applyBorder="1" applyAlignment="1">
      <alignment horizontal="left" vertical="center" wrapText="1" indent="1"/>
    </xf>
    <xf numFmtId="0" fontId="38" fillId="12" borderId="70" xfId="0" applyFont="1" applyFill="1" applyBorder="1" applyAlignment="1">
      <alignment horizontal="left" vertical="center" wrapText="1" indent="1"/>
    </xf>
    <xf numFmtId="0" fontId="38" fillId="12" borderId="71" xfId="0" applyFont="1" applyFill="1" applyBorder="1" applyAlignment="1">
      <alignment horizontal="left" vertical="center" wrapText="1" indent="1"/>
    </xf>
    <xf numFmtId="0" fontId="37" fillId="11" borderId="63" xfId="0" applyFont="1" applyFill="1" applyBorder="1" applyAlignment="1">
      <alignment horizontal="center"/>
    </xf>
    <xf numFmtId="0" fontId="37" fillId="11" borderId="72" xfId="0" applyFont="1" applyFill="1" applyBorder="1" applyAlignment="1">
      <alignment horizontal="center"/>
    </xf>
    <xf numFmtId="0" fontId="34" fillId="9" borderId="50" xfId="0" applyFont="1" applyFill="1" applyBorder="1" applyAlignment="1">
      <alignment horizontal="center"/>
    </xf>
    <xf numFmtId="0" fontId="34" fillId="9" borderId="52" xfId="0" applyFont="1" applyFill="1" applyBorder="1" applyAlignment="1">
      <alignment horizontal="center"/>
    </xf>
    <xf numFmtId="0" fontId="37" fillId="9" borderId="74" xfId="0" applyFont="1" applyFill="1" applyBorder="1" applyAlignment="1">
      <alignment horizontal="center"/>
    </xf>
    <xf numFmtId="0" fontId="37" fillId="9" borderId="75" xfId="0" applyFont="1" applyFill="1" applyBorder="1" applyAlignment="1">
      <alignment horizontal="center"/>
    </xf>
    <xf numFmtId="0" fontId="34" fillId="9" borderId="80" xfId="0" applyFont="1" applyFill="1" applyBorder="1" applyAlignment="1">
      <alignment horizontal="center"/>
    </xf>
    <xf numFmtId="0" fontId="34" fillId="9" borderId="38" xfId="0" applyFont="1" applyFill="1" applyBorder="1" applyAlignment="1">
      <alignment horizontal="center"/>
    </xf>
    <xf numFmtId="0" fontId="35" fillId="0" borderId="65" xfId="10" applyNumberFormat="1" applyFont="1" applyBorder="1" applyAlignment="1">
      <alignment horizontal="center" vertical="center" textRotation="90"/>
    </xf>
    <xf numFmtId="0" fontId="35" fillId="0" borderId="82" xfId="10" applyNumberFormat="1" applyFont="1" applyBorder="1" applyAlignment="1">
      <alignment horizontal="center" vertical="center" textRotation="90"/>
    </xf>
    <xf numFmtId="0" fontId="44" fillId="0" borderId="125" xfId="10" applyNumberFormat="1" applyFont="1" applyBorder="1" applyAlignment="1">
      <alignment horizontal="center" vertical="center" textRotation="90" wrapText="1"/>
    </xf>
    <xf numFmtId="0" fontId="44" fillId="0" borderId="73" xfId="10" applyNumberFormat="1" applyFont="1" applyBorder="1" applyAlignment="1">
      <alignment horizontal="center" vertical="center" textRotation="90" wrapText="1"/>
    </xf>
    <xf numFmtId="0" fontId="44" fillId="0" borderId="123" xfId="10" applyNumberFormat="1" applyFont="1" applyBorder="1" applyAlignment="1">
      <alignment horizontal="center" vertical="center" textRotation="90" wrapText="1"/>
    </xf>
    <xf numFmtId="0" fontId="34" fillId="5" borderId="138" xfId="10" applyNumberFormat="1" applyFont="1" applyFill="1" applyBorder="1" applyAlignment="1">
      <alignment horizontal="right" vertical="center"/>
    </xf>
    <xf numFmtId="0" fontId="34" fillId="5" borderId="105" xfId="10" applyNumberFormat="1" applyFont="1" applyFill="1" applyBorder="1" applyAlignment="1">
      <alignment horizontal="right" vertical="center"/>
    </xf>
    <xf numFmtId="0" fontId="35" fillId="0" borderId="85" xfId="10" applyNumberFormat="1" applyFont="1" applyBorder="1" applyAlignment="1">
      <alignment horizontal="center" vertical="center" textRotation="90" wrapText="1"/>
    </xf>
    <xf numFmtId="0" fontId="35" fillId="0" borderId="65" xfId="10" applyNumberFormat="1" applyFont="1" applyBorder="1" applyAlignment="1">
      <alignment horizontal="center" vertical="center" textRotation="90" wrapText="1"/>
    </xf>
    <xf numFmtId="0" fontId="35" fillId="0" borderId="82" xfId="10" applyNumberFormat="1" applyFont="1" applyBorder="1" applyAlignment="1">
      <alignment horizontal="center" vertical="center" textRotation="90" wrapText="1"/>
    </xf>
    <xf numFmtId="0" fontId="44" fillId="0" borderId="9" xfId="10" applyNumberFormat="1" applyFont="1" applyBorder="1" applyAlignment="1">
      <alignment horizontal="center" vertical="center" textRotation="90" wrapText="1"/>
    </xf>
    <xf numFmtId="0" fontId="44" fillId="0" borderId="25" xfId="10" applyNumberFormat="1" applyFont="1" applyBorder="1" applyAlignment="1">
      <alignment horizontal="center" vertical="center" textRotation="90" wrapText="1"/>
    </xf>
    <xf numFmtId="0" fontId="44" fillId="0" borderId="13" xfId="10" applyNumberFormat="1" applyFont="1" applyBorder="1" applyAlignment="1">
      <alignment horizontal="center" vertical="center" textRotation="90" wrapText="1"/>
    </xf>
    <xf numFmtId="0" fontId="35" fillId="0" borderId="44" xfId="10" applyNumberFormat="1" applyFont="1" applyBorder="1" applyAlignment="1">
      <alignment horizontal="center" vertical="center" textRotation="90"/>
    </xf>
    <xf numFmtId="0" fontId="35" fillId="0" borderId="85" xfId="10" applyNumberFormat="1" applyFont="1" applyBorder="1" applyAlignment="1">
      <alignment horizontal="center" vertical="center" textRotation="90"/>
    </xf>
    <xf numFmtId="0" fontId="35" fillId="0" borderId="80" xfId="10" applyNumberFormat="1" applyFont="1" applyBorder="1" applyAlignment="1">
      <alignment horizontal="center" vertical="center" textRotation="90"/>
    </xf>
    <xf numFmtId="0" fontId="41" fillId="0" borderId="73" xfId="10" applyNumberFormat="1" applyFont="1" applyBorder="1" applyAlignment="1">
      <alignment horizontal="center" vertical="center" textRotation="90" wrapText="1"/>
    </xf>
    <xf numFmtId="0" fontId="41" fillId="0" borderId="123" xfId="10" applyNumberFormat="1" applyFont="1" applyBorder="1" applyAlignment="1">
      <alignment horizontal="center" vertical="center" textRotation="90" wrapText="1"/>
    </xf>
    <xf numFmtId="0" fontId="33" fillId="0" borderId="38" xfId="10" applyFont="1" applyBorder="1" applyAlignment="1">
      <alignment horizontal="center"/>
    </xf>
    <xf numFmtId="0" fontId="3" fillId="0" borderId="39" xfId="10" applyBorder="1" applyAlignment="1">
      <alignment horizontal="center"/>
    </xf>
    <xf numFmtId="0" fontId="3" fillId="0" borderId="40" xfId="10" applyBorder="1" applyAlignment="1">
      <alignment horizontal="center"/>
    </xf>
    <xf numFmtId="0" fontId="3" fillId="0" borderId="44" xfId="10" applyBorder="1" applyAlignment="1">
      <alignment horizontal="center"/>
    </xf>
    <xf numFmtId="0" fontId="3" fillId="0" borderId="45" xfId="10" applyBorder="1" applyAlignment="1">
      <alignment horizontal="center"/>
    </xf>
    <xf numFmtId="0" fontId="3" fillId="0" borderId="54" xfId="10" applyBorder="1" applyAlignment="1">
      <alignment horizontal="center"/>
    </xf>
    <xf numFmtId="0" fontId="3" fillId="0" borderId="55" xfId="10" applyBorder="1" applyAlignment="1">
      <alignment horizontal="center"/>
    </xf>
    <xf numFmtId="0" fontId="35" fillId="16" borderId="41" xfId="10" applyFont="1" applyFill="1" applyBorder="1" applyAlignment="1">
      <alignment horizontal="center"/>
    </xf>
    <xf numFmtId="0" fontId="35" fillId="16" borderId="42" xfId="10" applyFont="1" applyFill="1" applyBorder="1" applyAlignment="1">
      <alignment horizontal="center"/>
    </xf>
    <xf numFmtId="0" fontId="35" fillId="16" borderId="43" xfId="10" applyFont="1" applyFill="1" applyBorder="1" applyAlignment="1">
      <alignment horizontal="center"/>
    </xf>
    <xf numFmtId="0" fontId="34" fillId="16" borderId="50" xfId="10" applyFont="1" applyFill="1" applyBorder="1" applyAlignment="1">
      <alignment horizontal="center" textRotation="90" wrapText="1"/>
    </xf>
    <xf numFmtId="0" fontId="35" fillId="16" borderId="44" xfId="10" applyFont="1" applyFill="1" applyBorder="1" applyAlignment="1">
      <alignment horizontal="center" textRotation="90" wrapText="1"/>
    </xf>
    <xf numFmtId="0" fontId="35" fillId="16" borderId="54" xfId="10" applyFont="1" applyFill="1" applyBorder="1" applyAlignment="1">
      <alignment horizontal="center" textRotation="90" wrapText="1"/>
    </xf>
    <xf numFmtId="0" fontId="35" fillId="17" borderId="51" xfId="10" applyFont="1" applyFill="1" applyBorder="1" applyAlignment="1">
      <alignment horizontal="center"/>
    </xf>
    <xf numFmtId="0" fontId="35" fillId="17" borderId="52" xfId="10" applyFont="1" applyFill="1" applyBorder="1" applyAlignment="1">
      <alignment horizontal="center"/>
    </xf>
    <xf numFmtId="0" fontId="35" fillId="17" borderId="53" xfId="10" applyFont="1" applyFill="1" applyBorder="1" applyAlignment="1">
      <alignment horizontal="center"/>
    </xf>
    <xf numFmtId="0" fontId="34" fillId="17" borderId="63" xfId="10" applyFont="1" applyFill="1" applyBorder="1" applyAlignment="1">
      <alignment horizontal="center"/>
    </xf>
    <xf numFmtId="0" fontId="3" fillId="17" borderId="64" xfId="10" applyFill="1" applyBorder="1" applyAlignment="1">
      <alignment horizontal="center"/>
    </xf>
    <xf numFmtId="0" fontId="34" fillId="17" borderId="68" xfId="10" applyFont="1" applyFill="1" applyBorder="1" applyAlignment="1">
      <alignment horizontal="center"/>
    </xf>
    <xf numFmtId="0" fontId="34" fillId="17" borderId="53" xfId="10" applyFont="1" applyFill="1" applyBorder="1" applyAlignment="1">
      <alignment horizontal="center"/>
    </xf>
    <xf numFmtId="0" fontId="37" fillId="18" borderId="63" xfId="10" applyFont="1" applyFill="1" applyBorder="1" applyAlignment="1">
      <alignment horizontal="center"/>
    </xf>
    <xf numFmtId="0" fontId="37" fillId="18" borderId="72" xfId="10" applyFont="1" applyFill="1" applyBorder="1" applyAlignment="1">
      <alignment horizontal="center"/>
    </xf>
    <xf numFmtId="0" fontId="34" fillId="17" borderId="50" xfId="10" applyFont="1" applyFill="1" applyBorder="1" applyAlignment="1">
      <alignment horizontal="center"/>
    </xf>
    <xf numFmtId="0" fontId="34" fillId="17" borderId="52" xfId="10" applyFont="1" applyFill="1" applyBorder="1" applyAlignment="1">
      <alignment horizontal="center"/>
    </xf>
    <xf numFmtId="0" fontId="37" fillId="17" borderId="74" xfId="10" applyFont="1" applyFill="1" applyBorder="1" applyAlignment="1">
      <alignment horizontal="center"/>
    </xf>
    <xf numFmtId="0" fontId="37" fillId="17" borderId="75" xfId="10" applyFont="1" applyFill="1" applyBorder="1" applyAlignment="1">
      <alignment horizontal="center"/>
    </xf>
    <xf numFmtId="0" fontId="34" fillId="16" borderId="80" xfId="10" applyFont="1" applyFill="1" applyBorder="1" applyAlignment="1">
      <alignment horizontal="center"/>
    </xf>
    <xf numFmtId="0" fontId="34" fillId="16" borderId="38" xfId="10" applyFont="1" applyFill="1" applyBorder="1" applyAlignment="1">
      <alignment horizontal="center"/>
    </xf>
    <xf numFmtId="0" fontId="70" fillId="12" borderId="69" xfId="0" applyFont="1" applyFill="1" applyBorder="1" applyAlignment="1">
      <alignment horizontal="left" vertical="center" wrapText="1"/>
    </xf>
    <xf numFmtId="0" fontId="70" fillId="12" borderId="70" xfId="0" applyFont="1" applyFill="1" applyBorder="1" applyAlignment="1">
      <alignment horizontal="left" vertical="center" wrapText="1"/>
    </xf>
    <xf numFmtId="0" fontId="70" fillId="12" borderId="71" xfId="0" applyFont="1" applyFill="1" applyBorder="1" applyAlignment="1">
      <alignment horizontal="left" vertical="center" wrapText="1"/>
    </xf>
    <xf numFmtId="0" fontId="70" fillId="13" borderId="96" xfId="0" applyFont="1" applyFill="1" applyBorder="1" applyAlignment="1">
      <alignment horizontal="left" vertical="center" wrapText="1"/>
    </xf>
    <xf numFmtId="0" fontId="70" fillId="13" borderId="97" xfId="0" applyFont="1" applyFill="1" applyBorder="1" applyAlignment="1">
      <alignment horizontal="left" vertical="center" wrapText="1"/>
    </xf>
    <xf numFmtId="0" fontId="70" fillId="13" borderId="98" xfId="0" applyFont="1" applyFill="1" applyBorder="1" applyAlignment="1">
      <alignment horizontal="left" vertical="center" wrapText="1"/>
    </xf>
    <xf numFmtId="0" fontId="70" fillId="12" borderId="96" xfId="0" applyFont="1" applyFill="1" applyBorder="1" applyAlignment="1">
      <alignment horizontal="left" vertical="center" wrapText="1"/>
    </xf>
    <xf numFmtId="0" fontId="70" fillId="12" borderId="97" xfId="0" applyFont="1" applyFill="1" applyBorder="1" applyAlignment="1">
      <alignment horizontal="left" vertical="center" wrapText="1"/>
    </xf>
    <xf numFmtId="0" fontId="70" fillId="12" borderId="98" xfId="0" applyFont="1" applyFill="1" applyBorder="1" applyAlignment="1">
      <alignment horizontal="left" vertical="center" wrapText="1"/>
    </xf>
    <xf numFmtId="0" fontId="35" fillId="17" borderId="59" xfId="10" applyFont="1" applyFill="1" applyBorder="1" applyAlignment="1">
      <alignment horizontal="center"/>
    </xf>
    <xf numFmtId="0" fontId="35" fillId="17" borderId="6" xfId="10" applyFont="1" applyFill="1" applyBorder="1" applyAlignment="1">
      <alignment horizontal="center"/>
    </xf>
    <xf numFmtId="0" fontId="35" fillId="17" borderId="51" xfId="10" applyFont="1" applyFill="1" applyBorder="1" applyAlignment="1">
      <alignment horizontal="center" vertical="center"/>
    </xf>
    <xf numFmtId="0" fontId="35" fillId="17" borderId="52" xfId="10" applyFont="1" applyFill="1" applyBorder="1" applyAlignment="1">
      <alignment horizontal="center" vertical="center"/>
    </xf>
    <xf numFmtId="0" fontId="41" fillId="0" borderId="125" xfId="10" applyNumberFormat="1" applyFont="1" applyBorder="1" applyAlignment="1">
      <alignment horizontal="center" vertical="center" textRotation="90" wrapText="1"/>
    </xf>
    <xf numFmtId="0" fontId="58" fillId="16" borderId="54" xfId="15" applyNumberFormat="1" applyFont="1" applyFill="1" applyBorder="1" applyAlignment="1">
      <alignment horizontal="center" vertical="center"/>
    </xf>
    <xf numFmtId="0" fontId="58" fillId="16" borderId="6" xfId="15" applyNumberFormat="1" applyFont="1" applyFill="1" applyBorder="1" applyAlignment="1">
      <alignment horizontal="center" vertical="center"/>
    </xf>
    <xf numFmtId="0" fontId="58" fillId="16" borderId="53" xfId="15" applyFont="1" applyFill="1" applyBorder="1" applyAlignment="1" applyProtection="1">
      <alignment horizontal="center" vertical="center" wrapText="1"/>
    </xf>
    <xf numFmtId="0" fontId="58" fillId="16" borderId="55" xfId="15" applyFont="1" applyFill="1" applyBorder="1" applyAlignment="1" applyProtection="1">
      <alignment horizontal="center" vertical="center" wrapText="1"/>
    </xf>
    <xf numFmtId="0" fontId="34" fillId="16" borderId="139" xfId="10" applyFont="1" applyFill="1" applyBorder="1" applyAlignment="1">
      <alignment horizontal="center"/>
    </xf>
    <xf numFmtId="0" fontId="37" fillId="16" borderId="52" xfId="10" applyFont="1" applyFill="1" applyBorder="1" applyAlignment="1">
      <alignment horizontal="center"/>
    </xf>
    <xf numFmtId="0" fontId="37" fillId="16" borderId="143" xfId="10" applyFont="1" applyFill="1" applyBorder="1" applyAlignment="1">
      <alignment horizontal="center"/>
    </xf>
    <xf numFmtId="0" fontId="0" fillId="0" borderId="0" xfId="0" applyFont="1" applyAlignment="1" applyProtection="1">
      <protection hidden="1"/>
    </xf>
    <xf numFmtId="0" fontId="78" fillId="19" borderId="0" xfId="0" applyFont="1" applyFill="1" applyAlignment="1" applyProtection="1">
      <alignment horizontal="right"/>
      <protection hidden="1"/>
    </xf>
    <xf numFmtId="0" fontId="26" fillId="19" borderId="0" xfId="0" quotePrefix="1" applyFont="1" applyFill="1" applyAlignment="1" applyProtection="1">
      <alignment horizontal="center"/>
      <protection locked="0" hidden="1"/>
    </xf>
    <xf numFmtId="0" fontId="0" fillId="19" borderId="0" xfId="0" applyFont="1" applyFill="1" applyAlignment="1" applyProtection="1">
      <protection hidden="1"/>
    </xf>
    <xf numFmtId="0" fontId="27" fillId="19" borderId="0" xfId="0" quotePrefix="1" applyFont="1" applyFill="1" applyProtection="1">
      <protection hidden="1"/>
    </xf>
    <xf numFmtId="0" fontId="55" fillId="19" borderId="0" xfId="0" quotePrefix="1" applyFont="1" applyFill="1" applyProtection="1">
      <protection hidden="1"/>
    </xf>
    <xf numFmtId="0" fontId="0" fillId="19" borderId="0" xfId="0" applyFill="1" applyProtection="1">
      <protection hidden="1"/>
    </xf>
    <xf numFmtId="0" fontId="30" fillId="19" borderId="7" xfId="0" applyFont="1" applyFill="1" applyBorder="1" applyProtection="1">
      <protection hidden="1"/>
    </xf>
    <xf numFmtId="0" fontId="25" fillId="19" borderId="7" xfId="0" applyFont="1" applyFill="1" applyBorder="1" applyProtection="1">
      <protection hidden="1"/>
    </xf>
    <xf numFmtId="1" fontId="25" fillId="19" borderId="7" xfId="0" applyNumberFormat="1" applyFont="1" applyFill="1" applyBorder="1" applyProtection="1">
      <protection hidden="1"/>
    </xf>
    <xf numFmtId="1" fontId="0" fillId="19" borderId="0" xfId="0" applyNumberFormat="1" applyFill="1" applyProtection="1">
      <protection hidden="1"/>
    </xf>
    <xf numFmtId="1" fontId="0" fillId="19" borderId="0" xfId="0" applyNumberFormat="1" applyFont="1" applyFill="1" applyAlignment="1" applyProtection="1">
      <protection hidden="1"/>
    </xf>
    <xf numFmtId="0" fontId="15" fillId="19" borderId="0" xfId="0" applyFont="1" applyFill="1" applyProtection="1">
      <protection hidden="1"/>
    </xf>
    <xf numFmtId="0" fontId="15" fillId="19" borderId="0" xfId="0" applyFont="1" applyFill="1" applyAlignment="1" applyProtection="1">
      <protection hidden="1"/>
    </xf>
    <xf numFmtId="170" fontId="0" fillId="19" borderId="0" xfId="0" applyNumberFormat="1" applyFill="1" applyProtection="1">
      <protection hidden="1"/>
    </xf>
    <xf numFmtId="0" fontId="23" fillId="19" borderId="0" xfId="0" applyFont="1" applyFill="1" applyBorder="1" applyProtection="1">
      <protection hidden="1"/>
    </xf>
    <xf numFmtId="1" fontId="23" fillId="19" borderId="0" xfId="0" applyNumberFormat="1" applyFont="1" applyFill="1" applyBorder="1" applyProtection="1">
      <protection hidden="1"/>
    </xf>
    <xf numFmtId="0" fontId="25" fillId="19" borderId="0" xfId="0" applyFont="1" applyFill="1" applyProtection="1">
      <protection hidden="1"/>
    </xf>
    <xf numFmtId="2" fontId="0" fillId="19" borderId="0" xfId="0" applyNumberFormat="1" applyFill="1" applyProtection="1">
      <protection hidden="1"/>
    </xf>
    <xf numFmtId="4" fontId="0" fillId="19" borderId="0" xfId="0" applyNumberFormat="1" applyFill="1" applyProtection="1">
      <protection hidden="1"/>
    </xf>
    <xf numFmtId="0" fontId="79" fillId="26" borderId="0" xfId="0" applyFont="1" applyFill="1" applyAlignment="1" applyProtection="1">
      <protection hidden="1"/>
    </xf>
    <xf numFmtId="0" fontId="54" fillId="19" borderId="0" xfId="0" applyFont="1" applyFill="1" applyAlignment="1" applyProtection="1">
      <protection locked="0" hidden="1"/>
    </xf>
    <xf numFmtId="3" fontId="77" fillId="19" borderId="0" xfId="0" applyNumberFormat="1" applyFont="1" applyFill="1" applyAlignment="1" applyProtection="1">
      <protection hidden="1"/>
    </xf>
    <xf numFmtId="0" fontId="77" fillId="19" borderId="0" xfId="0" applyFont="1" applyFill="1" applyAlignment="1" applyProtection="1">
      <protection hidden="1"/>
    </xf>
    <xf numFmtId="4" fontId="77" fillId="19" borderId="0" xfId="0" applyNumberFormat="1" applyFont="1" applyFill="1" applyAlignment="1" applyProtection="1">
      <protection hidden="1"/>
    </xf>
  </cellXfs>
  <cellStyles count="21">
    <cellStyle name="5x indented GHG Textfiels" xfId="16" xr:uid="{CEA07820-3E37-4833-AD2D-1CB70C9CCC35}"/>
    <cellStyle name="Comma" xfId="20" builtinId="3"/>
    <cellStyle name="Comma [0]" xfId="13" builtinId="6"/>
    <cellStyle name="Comma [0] 2" xfId="1" xr:uid="{720AC5F4-E745-4D15-AC6B-57F0BB328BA6}"/>
    <cellStyle name="Comma [0] 2 2" xfId="9" xr:uid="{00000000-0005-0000-0000-000001000000}"/>
    <cellStyle name="Comma [0] 2 3" xfId="12" xr:uid="{00000000-0005-0000-0000-000001000000}"/>
    <cellStyle name="Comma [0] 3" xfId="8" xr:uid="{00000000-0005-0000-0000-000035000000}"/>
    <cellStyle name="Comma [0] 4" xfId="11" xr:uid="{00000000-0005-0000-0000-000038000000}"/>
    <cellStyle name="Date" xfId="7" xr:uid="{50D1799A-A772-4217-A5E0-F0DDB456B1A4}"/>
    <cellStyle name="Hyperlink" xfId="6" builtinId="8"/>
    <cellStyle name="Normal" xfId="0" builtinId="0"/>
    <cellStyle name="Normal 13" xfId="14" xr:uid="{5802F7DC-BA80-4AE6-80F2-A2974C974649}"/>
    <cellStyle name="Normal 2" xfId="3" xr:uid="{00000000-0005-0000-0000-000031000000}"/>
    <cellStyle name="Normal 2 2" xfId="19" xr:uid="{00000000-0005-0000-0000-000001000000}"/>
    <cellStyle name="Normal 3" xfId="10" xr:uid="{00000000-0005-0000-0000-00003A000000}"/>
    <cellStyle name="Normal 4" xfId="5" xr:uid="{00000000-0005-0000-0000-000001000000}"/>
    <cellStyle name="Normal 5" xfId="17" xr:uid="{00000000-0005-0000-0000-00003E000000}"/>
    <cellStyle name="Percent" xfId="2" builtinId="5"/>
    <cellStyle name="Percent 2" xfId="4" xr:uid="{00000000-0005-0000-0000-000033000000}"/>
    <cellStyle name="Percent 3" xfId="18" xr:uid="{00000000-0005-0000-0000-000040000000}"/>
    <cellStyle name="Обычный_CRF2002 (1)" xfId="15" xr:uid="{5AEF4512-5674-4DF5-B27A-436C5AAEF99D}"/>
  </cellStyles>
  <dxfs count="3"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0"/>
      </font>
      <fill>
        <patternFill patternType="solid">
          <fgColor theme="4"/>
          <bgColor theme="4" tint="-0.24994659260841701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To do list for projects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Basic+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4068773080374278"/>
          <c:y val="0.1551458940412086"/>
          <c:w val="0.46038847904175489"/>
          <c:h val="0.7730897832772167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D-4CE6-AD7F-7CFF3C3006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63-4A40-87FA-2013A3B4F9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63-4A40-87FA-2013A3B4F9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463-4A40-87FA-2013A3B4F9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49-4C85-838F-96A4A67AFA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Mælaborð!$A$11:$A$34</c15:sqref>
                  </c15:fullRef>
                </c:ext>
              </c:extLst>
              <c:f>(Mælaborð!$A$11,Mælaborð!$A$15,Mælaborð!$A$19,Mælaborð!$A$26,Mælaborð!$A$29)</c:f>
              <c:strCache>
                <c:ptCount val="5"/>
                <c:pt idx="0">
                  <c:v>Orkunotkun</c:v>
                </c:pt>
                <c:pt idx="1">
                  <c:v>Samgöngur</c:v>
                </c:pt>
                <c:pt idx="2">
                  <c:v>Úrgangur</c:v>
                </c:pt>
                <c:pt idx="3">
                  <c:v>Landbúnaður og notkun</c:v>
                </c:pt>
                <c:pt idx="4">
                  <c:v>Efnanotkun og iðnaður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Mælaborð!$B$11:$B$34</c15:sqref>
                  </c15:fullRef>
                </c:ext>
              </c:extLst>
              <c:f>(Mælaborð!$B$11,Mælaborð!$B$15,Mælaborð!$B$19,Mælaborð!$B$26,Mælaborð!$B$29)</c:f>
              <c:numCache>
                <c:formatCode>0</c:formatCode>
                <c:ptCount val="5"/>
                <c:pt idx="0">
                  <c:v>25351.897336593593</c:v>
                </c:pt>
                <c:pt idx="1">
                  <c:v>356334.47828659596</c:v>
                </c:pt>
                <c:pt idx="2">
                  <c:v>52686.13948807706</c:v>
                </c:pt>
                <c:pt idx="3">
                  <c:v>48074.424525923067</c:v>
                </c:pt>
                <c:pt idx="4">
                  <c:v>52143.957556071611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Mælaborð!$B$14</c15:sqref>
                  <c15:spPr xmlns:c15="http://schemas.microsoft.com/office/drawing/2012/chart"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Mælaborð!$B$16</c15:sqref>
                  <c15:spPr xmlns:c15="http://schemas.microsoft.com/office/drawing/2012/chart"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Mælaborð!$B$17</c15:sqref>
                  <c15:spPr xmlns:c15="http://schemas.microsoft.com/office/drawing/2012/chart"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Mælaborð!$B$18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Mælaborð!$B$25</c15:sqref>
                  <c15:spPr xmlns:c15="http://schemas.microsoft.com/office/drawing/2012/chart">
                    <a:solidFill>
                      <a:schemeClr val="accent3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Mælaborð!$B$28</c15:sqref>
                  <c15:spPr xmlns:c15="http://schemas.microsoft.com/office/drawing/2012/chart">
                    <a:solidFill>
                      <a:schemeClr val="accent6">
                        <a:lumMod val="80000"/>
                        <a:lumOff val="2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BDDD-4CE6-AD7F-7CFF3C300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210854023536039"/>
          <c:y val="0.13120219331875027"/>
          <c:w val="0.29133973203143787"/>
          <c:h val="0.793801213859061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Mánaðarleg meðaluferð</a:t>
            </a:r>
          </a:p>
        </c:rich>
      </c:tx>
      <c:layout>
        <c:manualLayout>
          <c:xMode val="edge"/>
          <c:yMode val="edge"/>
          <c:x val="0.35596096858860388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7657035814071628"/>
          <c:y val="7.9120370370370396E-2"/>
          <c:w val="0.76934362035390735"/>
          <c:h val="0.8134802420530765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Götuumferð!$P$102:$P$224</c:f>
              <c:numCache>
                <c:formatCode>General</c:formatCode>
                <c:ptCount val="123"/>
                <c:pt idx="0">
                  <c:v>2012</c:v>
                </c:pt>
                <c:pt idx="1">
                  <c:v>2012.0769230769231</c:v>
                </c:pt>
                <c:pt idx="2">
                  <c:v>2012.1538461538462</c:v>
                </c:pt>
                <c:pt idx="3">
                  <c:v>2012.2307692307693</c:v>
                </c:pt>
                <c:pt idx="4">
                  <c:v>2012.3076923076924</c:v>
                </c:pt>
                <c:pt idx="5">
                  <c:v>2012.3846153846155</c:v>
                </c:pt>
                <c:pt idx="6">
                  <c:v>2012.4615384615386</c:v>
                </c:pt>
                <c:pt idx="7">
                  <c:v>2012.5384615384617</c:v>
                </c:pt>
                <c:pt idx="8">
                  <c:v>2012.6153846153848</c:v>
                </c:pt>
                <c:pt idx="9">
                  <c:v>2012.6923076923078</c:v>
                </c:pt>
                <c:pt idx="10">
                  <c:v>2012.7692307692309</c:v>
                </c:pt>
                <c:pt idx="11">
                  <c:v>2012.846153846154</c:v>
                </c:pt>
                <c:pt idx="12">
                  <c:v>2012.9230769230771</c:v>
                </c:pt>
                <c:pt idx="13">
                  <c:v>2013</c:v>
                </c:pt>
                <c:pt idx="14">
                  <c:v>2013.0769230769231</c:v>
                </c:pt>
                <c:pt idx="15">
                  <c:v>2013.1538461538462</c:v>
                </c:pt>
                <c:pt idx="16">
                  <c:v>2013.2307692307693</c:v>
                </c:pt>
                <c:pt idx="17">
                  <c:v>2013.3076923076924</c:v>
                </c:pt>
                <c:pt idx="18">
                  <c:v>2013.3846153846155</c:v>
                </c:pt>
                <c:pt idx="19">
                  <c:v>2013.4615384615386</c:v>
                </c:pt>
                <c:pt idx="20">
                  <c:v>2013.5384615384617</c:v>
                </c:pt>
                <c:pt idx="21">
                  <c:v>2013.6153846153848</c:v>
                </c:pt>
                <c:pt idx="22">
                  <c:v>2013.6923076923078</c:v>
                </c:pt>
                <c:pt idx="23">
                  <c:v>2013.7692307692309</c:v>
                </c:pt>
                <c:pt idx="24">
                  <c:v>2013.846153846154</c:v>
                </c:pt>
                <c:pt idx="25">
                  <c:v>2013.9230769230771</c:v>
                </c:pt>
                <c:pt idx="26">
                  <c:v>2014.0000000000002</c:v>
                </c:pt>
                <c:pt idx="27">
                  <c:v>2014.0769230769233</c:v>
                </c:pt>
                <c:pt idx="28">
                  <c:v>2014.1538461538464</c:v>
                </c:pt>
                <c:pt idx="29">
                  <c:v>2014.2307692307695</c:v>
                </c:pt>
                <c:pt idx="30">
                  <c:v>2014.3076923076926</c:v>
                </c:pt>
                <c:pt idx="31">
                  <c:v>2014.3846153846157</c:v>
                </c:pt>
                <c:pt idx="32">
                  <c:v>2014.4615384615388</c:v>
                </c:pt>
                <c:pt idx="33">
                  <c:v>2014.5384615384619</c:v>
                </c:pt>
                <c:pt idx="34">
                  <c:v>2014.615384615385</c:v>
                </c:pt>
                <c:pt idx="35">
                  <c:v>2014.6923076923081</c:v>
                </c:pt>
                <c:pt idx="36">
                  <c:v>2014.7692307692312</c:v>
                </c:pt>
                <c:pt idx="37">
                  <c:v>2014.8461538461543</c:v>
                </c:pt>
                <c:pt idx="38">
                  <c:v>2014.9230769230774</c:v>
                </c:pt>
                <c:pt idx="39">
                  <c:v>2015.0000000000005</c:v>
                </c:pt>
                <c:pt idx="40">
                  <c:v>2015.0769230769235</c:v>
                </c:pt>
                <c:pt idx="41">
                  <c:v>2015.1538461538466</c:v>
                </c:pt>
                <c:pt idx="42">
                  <c:v>2015.2307692307697</c:v>
                </c:pt>
                <c:pt idx="43">
                  <c:v>2015.3076923076928</c:v>
                </c:pt>
                <c:pt idx="44">
                  <c:v>2015.3846153846159</c:v>
                </c:pt>
                <c:pt idx="45">
                  <c:v>2015.461538461539</c:v>
                </c:pt>
                <c:pt idx="46">
                  <c:v>2015.5384615384621</c:v>
                </c:pt>
                <c:pt idx="47">
                  <c:v>2015.6153846153852</c:v>
                </c:pt>
                <c:pt idx="48">
                  <c:v>2015.6923076923083</c:v>
                </c:pt>
                <c:pt idx="49">
                  <c:v>2015.7692307692314</c:v>
                </c:pt>
                <c:pt idx="50">
                  <c:v>2015.8461538461545</c:v>
                </c:pt>
                <c:pt idx="51">
                  <c:v>2015.9230769230776</c:v>
                </c:pt>
                <c:pt idx="52">
                  <c:v>2016.0000000000007</c:v>
                </c:pt>
                <c:pt idx="53">
                  <c:v>2016.0769230769238</c:v>
                </c:pt>
                <c:pt idx="54">
                  <c:v>2016.1538461538469</c:v>
                </c:pt>
                <c:pt idx="55">
                  <c:v>2016.23076923077</c:v>
                </c:pt>
                <c:pt idx="56">
                  <c:v>2016.3076923076931</c:v>
                </c:pt>
                <c:pt idx="57">
                  <c:v>2016.3846153846162</c:v>
                </c:pt>
                <c:pt idx="58">
                  <c:v>2016.4615384615392</c:v>
                </c:pt>
                <c:pt idx="59">
                  <c:v>2016.5384615384623</c:v>
                </c:pt>
                <c:pt idx="60">
                  <c:v>2016.6153846153854</c:v>
                </c:pt>
                <c:pt idx="61">
                  <c:v>2016.6923076923085</c:v>
                </c:pt>
                <c:pt idx="62">
                  <c:v>2016.7692307692316</c:v>
                </c:pt>
                <c:pt idx="63">
                  <c:v>2016.8461538461547</c:v>
                </c:pt>
                <c:pt idx="64">
                  <c:v>2016.9230769230778</c:v>
                </c:pt>
                <c:pt idx="65">
                  <c:v>2017.0000000000009</c:v>
                </c:pt>
                <c:pt idx="66">
                  <c:v>2017.076923076924</c:v>
                </c:pt>
                <c:pt idx="67">
                  <c:v>2017.1538461538471</c:v>
                </c:pt>
                <c:pt idx="68">
                  <c:v>2017.2307692307702</c:v>
                </c:pt>
                <c:pt idx="69">
                  <c:v>2017.3076923076933</c:v>
                </c:pt>
                <c:pt idx="70">
                  <c:v>2017.3846153846164</c:v>
                </c:pt>
                <c:pt idx="71">
                  <c:v>2017.4615384615395</c:v>
                </c:pt>
                <c:pt idx="72">
                  <c:v>2017.5384615384626</c:v>
                </c:pt>
                <c:pt idx="73">
                  <c:v>2017.6153846153857</c:v>
                </c:pt>
                <c:pt idx="74">
                  <c:v>2017.6923076923088</c:v>
                </c:pt>
                <c:pt idx="75">
                  <c:v>2017.7692307692319</c:v>
                </c:pt>
                <c:pt idx="76">
                  <c:v>2017.8461538461549</c:v>
                </c:pt>
                <c:pt idx="77">
                  <c:v>2017.923076923078</c:v>
                </c:pt>
                <c:pt idx="78">
                  <c:v>2018.0000000000011</c:v>
                </c:pt>
                <c:pt idx="79">
                  <c:v>2018.0769230769242</c:v>
                </c:pt>
                <c:pt idx="80">
                  <c:v>2018.1538461538473</c:v>
                </c:pt>
                <c:pt idx="81">
                  <c:v>2018.2307692307704</c:v>
                </c:pt>
                <c:pt idx="82">
                  <c:v>2018.3076923076935</c:v>
                </c:pt>
                <c:pt idx="83">
                  <c:v>2018.3846153846166</c:v>
                </c:pt>
                <c:pt idx="84">
                  <c:v>2018.4615384615397</c:v>
                </c:pt>
                <c:pt idx="85">
                  <c:v>2018.5384615384628</c:v>
                </c:pt>
                <c:pt idx="86">
                  <c:v>2018.6153846153859</c:v>
                </c:pt>
                <c:pt idx="87">
                  <c:v>2018.692307692309</c:v>
                </c:pt>
                <c:pt idx="88">
                  <c:v>2018.7692307692321</c:v>
                </c:pt>
                <c:pt idx="89">
                  <c:v>2018.8461538461552</c:v>
                </c:pt>
                <c:pt idx="90">
                  <c:v>2018.9230769230783</c:v>
                </c:pt>
                <c:pt idx="91">
                  <c:v>2019.0000000000014</c:v>
                </c:pt>
                <c:pt idx="92">
                  <c:v>2019.0769230769245</c:v>
                </c:pt>
                <c:pt idx="93">
                  <c:v>2019.1538461538476</c:v>
                </c:pt>
                <c:pt idx="94">
                  <c:v>2019.2307692307706</c:v>
                </c:pt>
                <c:pt idx="95">
                  <c:v>2019.3076923076937</c:v>
                </c:pt>
                <c:pt idx="96">
                  <c:v>2019.3846153846168</c:v>
                </c:pt>
                <c:pt idx="97">
                  <c:v>2019.4615384615399</c:v>
                </c:pt>
                <c:pt idx="98">
                  <c:v>2019.538461538463</c:v>
                </c:pt>
                <c:pt idx="99">
                  <c:v>2019.6153846153861</c:v>
                </c:pt>
                <c:pt idx="100">
                  <c:v>2019.6923076923092</c:v>
                </c:pt>
                <c:pt idx="101">
                  <c:v>2019.7692307692323</c:v>
                </c:pt>
                <c:pt idx="102">
                  <c:v>2019.8461538461554</c:v>
                </c:pt>
                <c:pt idx="103">
                  <c:v>2019.9230769230785</c:v>
                </c:pt>
                <c:pt idx="104">
                  <c:v>2020.0000000000016</c:v>
                </c:pt>
                <c:pt idx="105">
                  <c:v>2020.0769230769247</c:v>
                </c:pt>
                <c:pt idx="106">
                  <c:v>2020.1538461538478</c:v>
                </c:pt>
                <c:pt idx="107">
                  <c:v>2020.2307692307709</c:v>
                </c:pt>
                <c:pt idx="108">
                  <c:v>2020.307692307694</c:v>
                </c:pt>
                <c:pt idx="109">
                  <c:v>2020.3846153846171</c:v>
                </c:pt>
                <c:pt idx="110">
                  <c:v>2020.4615384615402</c:v>
                </c:pt>
                <c:pt idx="111">
                  <c:v>2020.5384615384633</c:v>
                </c:pt>
                <c:pt idx="112">
                  <c:v>2020.6153846153863</c:v>
                </c:pt>
                <c:pt idx="113">
                  <c:v>2020.6923076923094</c:v>
                </c:pt>
                <c:pt idx="114">
                  <c:v>2020.7692307692325</c:v>
                </c:pt>
                <c:pt idx="115">
                  <c:v>2020.8461538461556</c:v>
                </c:pt>
                <c:pt idx="116">
                  <c:v>2020.9230769230787</c:v>
                </c:pt>
                <c:pt idx="117">
                  <c:v>2021.0000000000018</c:v>
                </c:pt>
                <c:pt idx="118">
                  <c:v>2021.0769230769249</c:v>
                </c:pt>
                <c:pt idx="119">
                  <c:v>2021.153846153848</c:v>
                </c:pt>
                <c:pt idx="120">
                  <c:v>2021.2307692307711</c:v>
                </c:pt>
                <c:pt idx="121">
                  <c:v>2021.3076923076942</c:v>
                </c:pt>
                <c:pt idx="122">
                  <c:v>2021.3846153846173</c:v>
                </c:pt>
              </c:numCache>
            </c:numRef>
          </c:xVal>
          <c:yVal>
            <c:numRef>
              <c:f>Götuumferð!$F$102:$F$223</c:f>
              <c:numCache>
                <c:formatCode>#,##0</c:formatCode>
                <c:ptCount val="122"/>
                <c:pt idx="0">
                  <c:v>114920</c:v>
                </c:pt>
                <c:pt idx="1">
                  <c:v>124655</c:v>
                </c:pt>
                <c:pt idx="2">
                  <c:v>126787.12982251594</c:v>
                </c:pt>
                <c:pt idx="3">
                  <c:v>121114</c:v>
                </c:pt>
                <c:pt idx="4">
                  <c:v>131363</c:v>
                </c:pt>
                <c:pt idx="5">
                  <c:v>133039</c:v>
                </c:pt>
                <c:pt idx="6">
                  <c:v>123314</c:v>
                </c:pt>
                <c:pt idx="7">
                  <c:v>129130</c:v>
                </c:pt>
                <c:pt idx="8">
                  <c:v>131660</c:v>
                </c:pt>
                <c:pt idx="9">
                  <c:v>131336</c:v>
                </c:pt>
                <c:pt idx="10">
                  <c:v>129557</c:v>
                </c:pt>
                <c:pt idx="11">
                  <c:v>127619</c:v>
                </c:pt>
                <c:pt idx="12">
                  <c:v>127041.17748520966</c:v>
                </c:pt>
                <c:pt idx="13">
                  <c:v>122677</c:v>
                </c:pt>
                <c:pt idx="14">
                  <c:v>128607</c:v>
                </c:pt>
                <c:pt idx="15">
                  <c:v>125049</c:v>
                </c:pt>
                <c:pt idx="16">
                  <c:v>131324.99245461533</c:v>
                </c:pt>
                <c:pt idx="17">
                  <c:v>135079.0724319641</c:v>
                </c:pt>
                <c:pt idx="18">
                  <c:v>133437.10595147865</c:v>
                </c:pt>
                <c:pt idx="19">
                  <c:v>126985.05661823777</c:v>
                </c:pt>
                <c:pt idx="20">
                  <c:v>133973.6944587281</c:v>
                </c:pt>
                <c:pt idx="21">
                  <c:v>132580.02396977026</c:v>
                </c:pt>
                <c:pt idx="22">
                  <c:v>135505.00832229911</c:v>
                </c:pt>
                <c:pt idx="23">
                  <c:v>131994.91955089409</c:v>
                </c:pt>
                <c:pt idx="24">
                  <c:v>130278.68986201713</c:v>
                </c:pt>
                <c:pt idx="25">
                  <c:v>130624.29696833367</c:v>
                </c:pt>
                <c:pt idx="26">
                  <c:v>127582.85506425255</c:v>
                </c:pt>
                <c:pt idx="27">
                  <c:v>133320</c:v>
                </c:pt>
                <c:pt idx="28">
                  <c:v>133176</c:v>
                </c:pt>
                <c:pt idx="29">
                  <c:v>131191</c:v>
                </c:pt>
                <c:pt idx="30">
                  <c:v>140104</c:v>
                </c:pt>
                <c:pt idx="31">
                  <c:v>135952</c:v>
                </c:pt>
                <c:pt idx="32">
                  <c:v>130910.96730033901</c:v>
                </c:pt>
                <c:pt idx="33">
                  <c:v>135183</c:v>
                </c:pt>
                <c:pt idx="34">
                  <c:v>140169.33990517911</c:v>
                </c:pt>
                <c:pt idx="35">
                  <c:v>140238</c:v>
                </c:pt>
                <c:pt idx="36">
                  <c:v>135830</c:v>
                </c:pt>
                <c:pt idx="37">
                  <c:v>130689</c:v>
                </c:pt>
                <c:pt idx="38">
                  <c:v>134528.84685581422</c:v>
                </c:pt>
                <c:pt idx="39">
                  <c:v>127784.35483870967</c:v>
                </c:pt>
                <c:pt idx="40">
                  <c:v>132240.03571428571</c:v>
                </c:pt>
                <c:pt idx="41">
                  <c:v>137544.35483870967</c:v>
                </c:pt>
                <c:pt idx="42">
                  <c:v>135038.46666666667</c:v>
                </c:pt>
                <c:pt idx="43">
                  <c:v>142690.25806451612</c:v>
                </c:pt>
                <c:pt idx="44">
                  <c:v>146647.33129889841</c:v>
                </c:pt>
                <c:pt idx="45">
                  <c:v>140560.91989411411</c:v>
                </c:pt>
                <c:pt idx="46">
                  <c:v>144492.2774284608</c:v>
                </c:pt>
                <c:pt idx="47">
                  <c:v>148973.64979378763</c:v>
                </c:pt>
                <c:pt idx="48">
                  <c:v>146687.85798477835</c:v>
                </c:pt>
                <c:pt idx="49">
                  <c:v>143355.16666666666</c:v>
                </c:pt>
                <c:pt idx="50">
                  <c:v>136569.90322580645</c:v>
                </c:pt>
                <c:pt idx="51">
                  <c:v>140215</c:v>
                </c:pt>
                <c:pt idx="52">
                  <c:v>133907.25806451612</c:v>
                </c:pt>
                <c:pt idx="53">
                  <c:v>141893.41379310345</c:v>
                </c:pt>
                <c:pt idx="54">
                  <c:v>142175.16129032261</c:v>
                </c:pt>
                <c:pt idx="55">
                  <c:v>152501.53333333333</c:v>
                </c:pt>
                <c:pt idx="56">
                  <c:v>153574.46559858267</c:v>
                </c:pt>
                <c:pt idx="57">
                  <c:v>152870.06666666668</c:v>
                </c:pt>
                <c:pt idx="58">
                  <c:v>145544.09677419355</c:v>
                </c:pt>
                <c:pt idx="59">
                  <c:v>157784.38709677418</c:v>
                </c:pt>
                <c:pt idx="60">
                  <c:v>161001.70000000001</c:v>
                </c:pt>
                <c:pt idx="61">
                  <c:v>153020.90322580645</c:v>
                </c:pt>
                <c:pt idx="62">
                  <c:v>156094.46666666667</c:v>
                </c:pt>
                <c:pt idx="63">
                  <c:v>153443.70967741936</c:v>
                </c:pt>
                <c:pt idx="64">
                  <c:v>150300</c:v>
                </c:pt>
                <c:pt idx="65">
                  <c:v>146306.93548387097</c:v>
                </c:pt>
                <c:pt idx="66">
                  <c:v>151142.28566069758</c:v>
                </c:pt>
                <c:pt idx="67">
                  <c:v>162935.67741935485</c:v>
                </c:pt>
                <c:pt idx="68">
                  <c:v>160216.08333333334</c:v>
                </c:pt>
                <c:pt idx="69">
                  <c:v>166065.36774929776</c:v>
                </c:pt>
                <c:pt idx="70">
                  <c:v>168979.39957802644</c:v>
                </c:pt>
                <c:pt idx="71">
                  <c:v>159375.10882859671</c:v>
                </c:pt>
                <c:pt idx="72">
                  <c:v>167992.19354838709</c:v>
                </c:pt>
                <c:pt idx="73">
                  <c:v>172525.83333333331</c:v>
                </c:pt>
                <c:pt idx="74">
                  <c:v>166860.80645161291</c:v>
                </c:pt>
                <c:pt idx="75">
                  <c:v>164657.29999999999</c:v>
                </c:pt>
                <c:pt idx="76">
                  <c:v>161108.29032258064</c:v>
                </c:pt>
                <c:pt idx="77">
                  <c:v>162347.10680909097</c:v>
                </c:pt>
                <c:pt idx="78">
                  <c:v>153041.22580645164</c:v>
                </c:pt>
                <c:pt idx="79">
                  <c:v>154140.13285456505</c:v>
                </c:pt>
                <c:pt idx="80">
                  <c:v>166896.53030433343</c:v>
                </c:pt>
                <c:pt idx="81">
                  <c:v>166930.02031564282</c:v>
                </c:pt>
                <c:pt idx="82">
                  <c:v>170404.80645161291</c:v>
                </c:pt>
                <c:pt idx="83">
                  <c:v>173290.96666666667</c:v>
                </c:pt>
                <c:pt idx="84">
                  <c:v>163460.13175129151</c:v>
                </c:pt>
                <c:pt idx="85">
                  <c:v>172000.87096774194</c:v>
                </c:pt>
                <c:pt idx="86">
                  <c:v>175115.5</c:v>
                </c:pt>
                <c:pt idx="87">
                  <c:v>173706.58064516127</c:v>
                </c:pt>
                <c:pt idx="88">
                  <c:v>171868.5</c:v>
                </c:pt>
                <c:pt idx="89">
                  <c:v>161941.41935483873</c:v>
                </c:pt>
                <c:pt idx="90">
                  <c:v>166899.72375985884</c:v>
                </c:pt>
                <c:pt idx="91">
                  <c:v>155523.29032258064</c:v>
                </c:pt>
                <c:pt idx="92">
                  <c:v>165020.07142857142</c:v>
                </c:pt>
                <c:pt idx="93">
                  <c:v>168276.87096774194</c:v>
                </c:pt>
                <c:pt idx="94">
                  <c:v>162648.09999999998</c:v>
                </c:pt>
                <c:pt idx="95">
                  <c:v>178474.38709677418</c:v>
                </c:pt>
                <c:pt idx="96">
                  <c:v>170723.86666666667</c:v>
                </c:pt>
                <c:pt idx="97">
                  <c:v>167139.74193548388</c:v>
                </c:pt>
                <c:pt idx="98">
                  <c:v>172613.93548387097</c:v>
                </c:pt>
                <c:pt idx="99">
                  <c:v>175667.75128192778</c:v>
                </c:pt>
                <c:pt idx="100">
                  <c:v>176501.19719904271</c:v>
                </c:pt>
                <c:pt idx="101">
                  <c:v>172162.63333333333</c:v>
                </c:pt>
                <c:pt idx="102">
                  <c:v>160250.09677419355</c:v>
                </c:pt>
                <c:pt idx="103">
                  <c:v>168750</c:v>
                </c:pt>
                <c:pt idx="104">
                  <c:v>153067.22580645164</c:v>
                </c:pt>
                <c:pt idx="105">
                  <c:v>163580.62068965519</c:v>
                </c:pt>
                <c:pt idx="106">
                  <c:v>133500.54838709679</c:v>
                </c:pt>
                <c:pt idx="107">
                  <c:v>117546.46666666667</c:v>
                </c:pt>
                <c:pt idx="108">
                  <c:v>161461.32258064515</c:v>
                </c:pt>
                <c:pt idx="109">
                  <c:v>172843.8</c:v>
                </c:pt>
                <c:pt idx="110">
                  <c:v>161421.5806451613</c:v>
                </c:pt>
                <c:pt idx="111">
                  <c:v>160070.93548387097</c:v>
                </c:pt>
                <c:pt idx="112">
                  <c:v>167850.76666666666</c:v>
                </c:pt>
                <c:pt idx="113">
                  <c:v>141283.22580645161</c:v>
                </c:pt>
                <c:pt idx="114">
                  <c:v>137719.79999999999</c:v>
                </c:pt>
                <c:pt idx="115">
                  <c:v>147959.19354838709</c:v>
                </c:pt>
                <c:pt idx="117">
                  <c:v>143242.22580645161</c:v>
                </c:pt>
                <c:pt idx="118">
                  <c:v>162318.5</c:v>
                </c:pt>
                <c:pt idx="119">
                  <c:v>166474.16129032258</c:v>
                </c:pt>
                <c:pt idx="120">
                  <c:v>154713.36666666667</c:v>
                </c:pt>
                <c:pt idx="121">
                  <c:v>174354.54838709679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F9-456F-8071-AB704300D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  <c:max val="2020.7"/>
          <c:min val="2012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Meðalumferð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Götuumferð!$P$180:$P$224</c:f>
              <c:numCache>
                <c:formatCode>General</c:formatCode>
                <c:ptCount val="45"/>
                <c:pt idx="0">
                  <c:v>2018.0000000000011</c:v>
                </c:pt>
                <c:pt idx="1">
                  <c:v>2018.0769230769242</c:v>
                </c:pt>
                <c:pt idx="2">
                  <c:v>2018.1538461538473</c:v>
                </c:pt>
                <c:pt idx="3">
                  <c:v>2018.2307692307704</c:v>
                </c:pt>
                <c:pt idx="4">
                  <c:v>2018.3076923076935</c:v>
                </c:pt>
                <c:pt idx="5">
                  <c:v>2018.3846153846166</c:v>
                </c:pt>
                <c:pt idx="6">
                  <c:v>2018.4615384615397</c:v>
                </c:pt>
                <c:pt idx="7">
                  <c:v>2018.5384615384628</c:v>
                </c:pt>
                <c:pt idx="8">
                  <c:v>2018.6153846153859</c:v>
                </c:pt>
                <c:pt idx="9">
                  <c:v>2018.692307692309</c:v>
                </c:pt>
                <c:pt idx="10">
                  <c:v>2018.7692307692321</c:v>
                </c:pt>
                <c:pt idx="11">
                  <c:v>2018.8461538461552</c:v>
                </c:pt>
                <c:pt idx="12">
                  <c:v>2018.9230769230783</c:v>
                </c:pt>
                <c:pt idx="13">
                  <c:v>2019.0000000000014</c:v>
                </c:pt>
                <c:pt idx="14">
                  <c:v>2019.0769230769245</c:v>
                </c:pt>
                <c:pt idx="15">
                  <c:v>2019.1538461538476</c:v>
                </c:pt>
                <c:pt idx="16">
                  <c:v>2019.2307692307706</c:v>
                </c:pt>
                <c:pt idx="17">
                  <c:v>2019.3076923076937</c:v>
                </c:pt>
                <c:pt idx="18">
                  <c:v>2019.3846153846168</c:v>
                </c:pt>
                <c:pt idx="19">
                  <c:v>2019.4615384615399</c:v>
                </c:pt>
                <c:pt idx="20">
                  <c:v>2019.538461538463</c:v>
                </c:pt>
                <c:pt idx="21">
                  <c:v>2019.6153846153861</c:v>
                </c:pt>
                <c:pt idx="22">
                  <c:v>2019.6923076923092</c:v>
                </c:pt>
                <c:pt idx="23">
                  <c:v>2019.7692307692323</c:v>
                </c:pt>
                <c:pt idx="24">
                  <c:v>2019.8461538461554</c:v>
                </c:pt>
                <c:pt idx="25">
                  <c:v>2019.9230769230785</c:v>
                </c:pt>
                <c:pt idx="26">
                  <c:v>2020.0000000000016</c:v>
                </c:pt>
                <c:pt idx="27">
                  <c:v>2020.0769230769247</c:v>
                </c:pt>
                <c:pt idx="28">
                  <c:v>2020.1538461538478</c:v>
                </c:pt>
                <c:pt idx="29">
                  <c:v>2020.2307692307709</c:v>
                </c:pt>
                <c:pt idx="30">
                  <c:v>2020.307692307694</c:v>
                </c:pt>
                <c:pt idx="31">
                  <c:v>2020.3846153846171</c:v>
                </c:pt>
                <c:pt idx="32">
                  <c:v>2020.4615384615402</c:v>
                </c:pt>
                <c:pt idx="33">
                  <c:v>2020.5384615384633</c:v>
                </c:pt>
                <c:pt idx="34">
                  <c:v>2020.6153846153863</c:v>
                </c:pt>
                <c:pt idx="35">
                  <c:v>2020.6923076923094</c:v>
                </c:pt>
                <c:pt idx="36">
                  <c:v>2020.7692307692325</c:v>
                </c:pt>
                <c:pt idx="37">
                  <c:v>2020.8461538461556</c:v>
                </c:pt>
                <c:pt idx="38">
                  <c:v>2020.9230769230787</c:v>
                </c:pt>
                <c:pt idx="39">
                  <c:v>2021.0000000000018</c:v>
                </c:pt>
                <c:pt idx="40">
                  <c:v>2021.0769230769249</c:v>
                </c:pt>
                <c:pt idx="41">
                  <c:v>2021.153846153848</c:v>
                </c:pt>
                <c:pt idx="42">
                  <c:v>2021.2307692307711</c:v>
                </c:pt>
                <c:pt idx="43">
                  <c:v>2021.3076923076942</c:v>
                </c:pt>
                <c:pt idx="44">
                  <c:v>2021.3846153846173</c:v>
                </c:pt>
              </c:numCache>
            </c:numRef>
          </c:xVal>
          <c:yVal>
            <c:numRef>
              <c:f>Götuumferð!$L$180:$L$223</c:f>
              <c:numCache>
                <c:formatCode>0.0%</c:formatCode>
                <c:ptCount val="44"/>
                <c:pt idx="0">
                  <c:v>4.6028510544006807E-2</c:v>
                </c:pt>
                <c:pt idx="1">
                  <c:v>1.9834602743784124E-2</c:v>
                </c:pt>
                <c:pt idx="2">
                  <c:v>2.4309303816771655E-2</c:v>
                </c:pt>
                <c:pt idx="3">
                  <c:v>4.1905511872618817E-2</c:v>
                </c:pt>
                <c:pt idx="4">
                  <c:v>2.6130907130897052E-2</c:v>
                </c:pt>
                <c:pt idx="5">
                  <c:v>2.5515341511492151E-2</c:v>
                </c:pt>
                <c:pt idx="6">
                  <c:v>2.5631498875323899E-2</c:v>
                </c:pt>
                <c:pt idx="7">
                  <c:v>2.386228392333134E-2</c:v>
                </c:pt>
                <c:pt idx="8">
                  <c:v>1.5010312465283171E-2</c:v>
                </c:pt>
                <c:pt idx="9">
                  <c:v>4.1026855491876901E-2</c:v>
                </c:pt>
                <c:pt idx="10">
                  <c:v>4.3795203735273347E-2</c:v>
                </c:pt>
                <c:pt idx="11">
                  <c:v>5.1712362572400306E-3</c:v>
                </c:pt>
                <c:pt idx="12">
                  <c:v>1.5241885439683404E-2</c:v>
                </c:pt>
                <c:pt idx="13">
                  <c:v>1.6218273886985379E-2</c:v>
                </c:pt>
                <c:pt idx="14">
                  <c:v>7.058472295642737E-2</c:v>
                </c:pt>
                <c:pt idx="15">
                  <c:v>8.2706372678418294E-3</c:v>
                </c:pt>
                <c:pt idx="16">
                  <c:v>-2.5650990202638724E-2</c:v>
                </c:pt>
                <c:pt idx="17">
                  <c:v>4.7355358180302565E-2</c:v>
                </c:pt>
                <c:pt idx="18">
                  <c:v>-1.4813813145482357E-2</c:v>
                </c:pt>
                <c:pt idx="19">
                  <c:v>2.2510750142982872E-2</c:v>
                </c:pt>
                <c:pt idx="20">
                  <c:v>3.564310533311188E-3</c:v>
                </c:pt>
                <c:pt idx="21">
                  <c:v>3.1536402084781923E-3</c:v>
                </c:pt>
                <c:pt idx="22">
                  <c:v>1.6088144407091498E-2</c:v>
                </c:pt>
                <c:pt idx="23">
                  <c:v>1.7113859336255199E-3</c:v>
                </c:pt>
                <c:pt idx="24">
                  <c:v>-1.0444039501341096E-2</c:v>
                </c:pt>
                <c:pt idx="26">
                  <c:v>-1.5792261795868123E-2</c:v>
                </c:pt>
                <c:pt idx="27">
                  <c:v>-8.7228827769554318E-3</c:v>
                </c:pt>
                <c:pt idx="28">
                  <c:v>-0.20666133367378603</c:v>
                </c:pt>
                <c:pt idx="29">
                  <c:v>-0.27729578970386559</c:v>
                </c:pt>
                <c:pt idx="30">
                  <c:v>1.2417322631711691E-2</c:v>
                </c:pt>
                <c:pt idx="31">
                  <c:v>1.2417322631711691E-2</c:v>
                </c:pt>
                <c:pt idx="32">
                  <c:v>-3.4211859035475745E-2</c:v>
                </c:pt>
                <c:pt idx="33">
                  <c:v>-7.2665048536431853E-2</c:v>
                </c:pt>
                <c:pt idx="34">
                  <c:v>-4.4498688906854045E-2</c:v>
                </c:pt>
                <c:pt idx="35">
                  <c:v>-0.19953389524534126</c:v>
                </c:pt>
                <c:pt idx="36">
                  <c:v>-0.20005986587488311</c:v>
                </c:pt>
                <c:pt idx="37">
                  <c:v>-7.6698257743490927E-2</c:v>
                </c:pt>
                <c:pt idx="39">
                  <c:v>-6.4187483298504433E-2</c:v>
                </c:pt>
                <c:pt idx="40">
                  <c:v>-7.7155880955463996E-3</c:v>
                </c:pt>
                <c:pt idx="41">
                  <c:v>0.24699234049298324</c:v>
                </c:pt>
                <c:pt idx="42">
                  <c:v>0.31618900213645995</c:v>
                </c:pt>
                <c:pt idx="43">
                  <c:v>7.9853339489473374E-2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16-4C7A-9AEC-EA5A2C3D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Skip!$C$3</c:f>
          <c:strCache>
            <c:ptCount val="1"/>
            <c:pt idx="0">
              <c:v>Sundahöfn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Skip!$F$9:$F$20</c15:sqref>
                  </c15:fullRef>
                </c:ext>
              </c:extLst>
              <c:f>(Skip!$F$13,Skip!$F$16,Skip!$F$18:$F$20)</c:f>
              <c:numCache>
                <c:formatCode>#,##0</c:formatCode>
                <c:ptCount val="5"/>
                <c:pt idx="0">
                  <c:v>10253.903232000001</c:v>
                </c:pt>
                <c:pt idx="1">
                  <c:v>12626.697</c:v>
                </c:pt>
                <c:pt idx="2">
                  <c:v>2064.4776000000002</c:v>
                </c:pt>
                <c:pt idx="3">
                  <c:v>0</c:v>
                </c:pt>
                <c:pt idx="4">
                  <c:v>788.88250000000005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F-43D6-AB67-90EF2798FF25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Skip!$F$22:$F$33</c15:sqref>
                  </c15:fullRef>
                </c:ext>
              </c:extLst>
              <c:f>(Skip!$F$26,Skip!$F$29,Skip!$F$31:$F$33)</c:f>
              <c:numCache>
                <c:formatCode>#,##0</c:formatCode>
                <c:ptCount val="5"/>
                <c:pt idx="0">
                  <c:v>12544.778778</c:v>
                </c:pt>
                <c:pt idx="1">
                  <c:v>10610.726000000001</c:v>
                </c:pt>
                <c:pt idx="2">
                  <c:v>2103.1581999999999</c:v>
                </c:pt>
                <c:pt idx="3">
                  <c:v>0</c:v>
                </c:pt>
                <c:pt idx="4">
                  <c:v>652.22568000000001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F-43D6-AB67-90EF2798FF25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Skip!$F$35:$F$46</c15:sqref>
                  </c15:fullRef>
                </c:ext>
              </c:extLst>
              <c:f>(Skip!$F$39,Skip!$F$42,Skip!$F$44:$F$46)</c:f>
              <c:numCache>
                <c:formatCode>#,##0</c:formatCode>
                <c:ptCount val="5"/>
                <c:pt idx="0">
                  <c:v>13457.445100000001</c:v>
                </c:pt>
                <c:pt idx="1">
                  <c:v>12441.867553</c:v>
                </c:pt>
                <c:pt idx="2">
                  <c:v>1992.0116</c:v>
                </c:pt>
                <c:pt idx="3">
                  <c:v>0</c:v>
                </c:pt>
                <c:pt idx="4">
                  <c:v>825.88745999999992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EF-43D6-AB67-90EF2798FF25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Skip!$F$48:$F$59</c15:sqref>
                  </c15:fullRef>
                </c:ext>
              </c:extLst>
              <c:f>(Skip!$F$52,Skip!$F$55,Skip!$F$57:$F$59)</c:f>
              <c:numCache>
                <c:formatCode>#,##0</c:formatCode>
                <c:ptCount val="5"/>
                <c:pt idx="0">
                  <c:v>17861.026180000001</c:v>
                </c:pt>
                <c:pt idx="1">
                  <c:v>16966.674899999998</c:v>
                </c:pt>
                <c:pt idx="2">
                  <c:v>1880.8135</c:v>
                </c:pt>
                <c:pt idx="3">
                  <c:v>0</c:v>
                </c:pt>
                <c:pt idx="4">
                  <c:v>151.53954999999999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EF-43D6-AB67-90EF2798FF25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(Skip!$B$13,Skip!$B$16,Skip!$B$18:$B$20)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Skip!$F$61:$F$72</c15:sqref>
                  </c15:fullRef>
                </c:ext>
              </c:extLst>
              <c:f>(Skip!$F$65,Skip!$F$68,Skip!$F$70:$F$72)</c:f>
              <c:numCache>
                <c:formatCode>#,##0</c:formatCode>
                <c:ptCount val="5"/>
                <c:pt idx="0">
                  <c:v>20502.696624</c:v>
                </c:pt>
                <c:pt idx="1">
                  <c:v>320.66964200000001</c:v>
                </c:pt>
                <c:pt idx="2">
                  <c:v>4792.3062</c:v>
                </c:pt>
                <c:pt idx="3">
                  <c:v>0</c:v>
                </c:pt>
                <c:pt idx="4">
                  <c:v>178.68713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EF-43D6-AB67-90EF2798F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Losun (tonn</a:t>
                </a:r>
                <a:r>
                  <a:rPr lang="is-IS" baseline="0"/>
                  <a:t> CO</a:t>
                </a:r>
                <a:r>
                  <a:rPr lang="is-IS" baseline="-25000"/>
                  <a:t>2</a:t>
                </a:r>
                <a:r>
                  <a:rPr lang="is-IS" baseline="0"/>
                  <a:t> ígilda)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25864464223014"/>
          <c:y val="0.21210272468625674"/>
          <c:w val="9.7754488126199621E-2"/>
          <c:h val="0.414937750836188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Hafnarsvæði Reykjavíkur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Skip!$B$9:$B$20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Skip!$AI$9:$AI$20</c:f>
              <c:numCache>
                <c:formatCode>#,##0</c:formatCode>
                <c:ptCount val="12"/>
                <c:pt idx="0">
                  <c:v>3</c:v>
                </c:pt>
                <c:pt idx="1">
                  <c:v>237</c:v>
                </c:pt>
                <c:pt idx="2">
                  <c:v>147</c:v>
                </c:pt>
                <c:pt idx="3">
                  <c:v>112</c:v>
                </c:pt>
                <c:pt idx="4">
                  <c:v>499</c:v>
                </c:pt>
                <c:pt idx="5">
                  <c:v>8</c:v>
                </c:pt>
                <c:pt idx="6">
                  <c:v>102</c:v>
                </c:pt>
                <c:pt idx="7">
                  <c:v>110</c:v>
                </c:pt>
                <c:pt idx="8">
                  <c:v>609</c:v>
                </c:pt>
                <c:pt idx="9">
                  <c:v>583</c:v>
                </c:pt>
                <c:pt idx="10">
                  <c:v>5607</c:v>
                </c:pt>
                <c:pt idx="11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7-495A-BCC9-2B2E18E8A131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Skip!$B$9:$B$20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Skip!$AI$22:$AI$33</c:f>
              <c:numCache>
                <c:formatCode>#,##0</c:formatCode>
                <c:ptCount val="12"/>
                <c:pt idx="0">
                  <c:v>3</c:v>
                </c:pt>
                <c:pt idx="1">
                  <c:v>284</c:v>
                </c:pt>
                <c:pt idx="2">
                  <c:v>182</c:v>
                </c:pt>
                <c:pt idx="3">
                  <c:v>113</c:v>
                </c:pt>
                <c:pt idx="4">
                  <c:v>582</c:v>
                </c:pt>
                <c:pt idx="5">
                  <c:v>6</c:v>
                </c:pt>
                <c:pt idx="6">
                  <c:v>129</c:v>
                </c:pt>
                <c:pt idx="7">
                  <c:v>135</c:v>
                </c:pt>
                <c:pt idx="8">
                  <c:v>717</c:v>
                </c:pt>
                <c:pt idx="9">
                  <c:v>468</c:v>
                </c:pt>
                <c:pt idx="10">
                  <c:v>5375</c:v>
                </c:pt>
                <c:pt idx="1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7-495A-BCC9-2B2E18E8A131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Skip!$B$9:$B$20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Skip!$AI$35:$AI$46</c:f>
              <c:numCache>
                <c:formatCode>#,##0</c:formatCode>
                <c:ptCount val="12"/>
                <c:pt idx="0">
                  <c:v>2</c:v>
                </c:pt>
                <c:pt idx="1">
                  <c:v>269</c:v>
                </c:pt>
                <c:pt idx="2">
                  <c:v>166</c:v>
                </c:pt>
                <c:pt idx="3">
                  <c:v>121</c:v>
                </c:pt>
                <c:pt idx="4">
                  <c:v>558</c:v>
                </c:pt>
                <c:pt idx="5">
                  <c:v>5</c:v>
                </c:pt>
                <c:pt idx="6">
                  <c:v>145</c:v>
                </c:pt>
                <c:pt idx="7">
                  <c:v>150</c:v>
                </c:pt>
                <c:pt idx="8">
                  <c:v>708</c:v>
                </c:pt>
                <c:pt idx="9">
                  <c:v>446</c:v>
                </c:pt>
                <c:pt idx="10">
                  <c:v>4520</c:v>
                </c:pt>
                <c:pt idx="11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A7-495A-BCC9-2B2E18E8A131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Skip!$B$9:$B$20</c:f>
              <c:strCache>
                <c:ptCount val="12"/>
                <c:pt idx="0">
                  <c:v>Þurrflutningaskip</c:v>
                </c:pt>
                <c:pt idx="1">
                  <c:v>Gámaskip</c:v>
                </c:pt>
                <c:pt idx="2">
                  <c:v>Almenn flutningaskip</c:v>
                </c:pt>
                <c:pt idx="3">
                  <c:v>Tankskip</c:v>
                </c:pt>
                <c:pt idx="4">
                  <c:v>Flutningaskip</c:v>
                </c:pt>
                <c:pt idx="5">
                  <c:v>RoRo og ferjur</c:v>
                </c:pt>
                <c:pt idx="6">
                  <c:v>Skemmtiferðaskip</c:v>
                </c:pt>
                <c:pt idx="7">
                  <c:v>Farþegaskip</c:v>
                </c:pt>
                <c:pt idx="8">
                  <c:v>Flutninga- og farþegaskip</c:v>
                </c:pt>
                <c:pt idx="9">
                  <c:v>Fiskiskip</c:v>
                </c:pt>
                <c:pt idx="10">
                  <c:v>Hvalaskoðunarskip</c:v>
                </c:pt>
                <c:pt idx="11">
                  <c:v>Önnur skip</c:v>
                </c:pt>
              </c:strCache>
            </c:strRef>
          </c:cat>
          <c:val>
            <c:numRef>
              <c:f>Skip!$AI$48:$AI$59</c:f>
              <c:numCache>
                <c:formatCode>#,##0</c:formatCode>
                <c:ptCount val="12"/>
                <c:pt idx="0">
                  <c:v>14</c:v>
                </c:pt>
                <c:pt idx="1">
                  <c:v>339</c:v>
                </c:pt>
                <c:pt idx="2">
                  <c:v>124</c:v>
                </c:pt>
                <c:pt idx="3">
                  <c:v>143</c:v>
                </c:pt>
                <c:pt idx="4">
                  <c:v>620</c:v>
                </c:pt>
                <c:pt idx="5">
                  <c:v>10</c:v>
                </c:pt>
                <c:pt idx="6">
                  <c:v>165</c:v>
                </c:pt>
                <c:pt idx="7">
                  <c:v>175</c:v>
                </c:pt>
                <c:pt idx="8">
                  <c:v>795</c:v>
                </c:pt>
                <c:pt idx="9">
                  <c:v>336</c:v>
                </c:pt>
                <c:pt idx="10">
                  <c:v>5542</c:v>
                </c:pt>
                <c:pt idx="1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A7-495A-BCC9-2B2E18E8A131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Skip!$AI$61:$AI$72</c:f>
              <c:numCache>
                <c:formatCode>#,##0</c:formatCode>
                <c:ptCount val="12"/>
                <c:pt idx="0">
                  <c:v>0</c:v>
                </c:pt>
                <c:pt idx="1">
                  <c:v>270</c:v>
                </c:pt>
                <c:pt idx="2">
                  <c:v>100</c:v>
                </c:pt>
                <c:pt idx="3">
                  <c:v>152</c:v>
                </c:pt>
                <c:pt idx="4">
                  <c:v>522</c:v>
                </c:pt>
                <c:pt idx="5">
                  <c:v>1</c:v>
                </c:pt>
                <c:pt idx="6">
                  <c:v>7</c:v>
                </c:pt>
                <c:pt idx="7">
                  <c:v>8</c:v>
                </c:pt>
                <c:pt idx="8">
                  <c:v>530</c:v>
                </c:pt>
                <c:pt idx="9">
                  <c:v>293</c:v>
                </c:pt>
                <c:pt idx="10">
                  <c:v>1773</c:v>
                </c:pt>
                <c:pt idx="1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A7-495A-BCC9-2B2E18E8A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845093396981401"/>
          <c:y val="0.2720087988753716"/>
          <c:w val="9.6512881373123111E-2"/>
          <c:h val="0.3775704592901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Skip!$C$3</c:f>
          <c:strCache>
            <c:ptCount val="1"/>
            <c:pt idx="0">
              <c:v>Sundahöfn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(Skip!$B$13,Skip!$B$16,Skip!$B$18,Skip!$B$20)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Skip!$H$9:$H$20</c15:sqref>
                  </c15:fullRef>
                </c:ext>
              </c:extLst>
              <c:f>(Skip!$H$13,Skip!$H$16,Skip!$H$18,Skip!$H$20)</c:f>
              <c:numCache>
                <c:formatCode>#,##0</c:formatCode>
                <c:ptCount val="4"/>
                <c:pt idx="0">
                  <c:v>386</c:v>
                </c:pt>
                <c:pt idx="1">
                  <c:v>62</c:v>
                </c:pt>
                <c:pt idx="2">
                  <c:v>70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6-4CF1-BFB7-1824A9F93CF1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(Skip!$B$13,Skip!$B$16,Skip!$B$18,Skip!$B$20)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Skip!$H$22:$H$33</c15:sqref>
                  </c15:fullRef>
                </c:ext>
              </c:extLst>
              <c:f>(Skip!$H$26,Skip!$H$29,Skip!$H$31,Skip!$H$33)</c:f>
              <c:numCache>
                <c:formatCode>#,##0</c:formatCode>
                <c:ptCount val="4"/>
                <c:pt idx="0">
                  <c:v>460</c:v>
                </c:pt>
                <c:pt idx="1">
                  <c:v>80</c:v>
                </c:pt>
                <c:pt idx="2">
                  <c:v>112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6-4CF1-BFB7-1824A9F93CF1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(Skip!$B$13,Skip!$B$16,Skip!$B$18,Skip!$B$20)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Skip!$H$35:$H$46</c15:sqref>
                  </c15:fullRef>
                </c:ext>
              </c:extLst>
              <c:f>(Skip!$H$39,Skip!$H$42,Skip!$H$44,Skip!$H$46)</c:f>
              <c:numCache>
                <c:formatCode>#,##0</c:formatCode>
                <c:ptCount val="4"/>
                <c:pt idx="0">
                  <c:v>435</c:v>
                </c:pt>
                <c:pt idx="1">
                  <c:v>84</c:v>
                </c:pt>
                <c:pt idx="2">
                  <c:v>78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E6-4CF1-BFB7-1824A9F93CF1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(Skip!$B$13,Skip!$B$16,Skip!$B$18,Skip!$B$20)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Skip!$H$48:$H$59</c15:sqref>
                  </c15:fullRef>
                </c:ext>
              </c:extLst>
              <c:f>(Skip!$H$52,Skip!$H$55,Skip!$H$57,Skip!$H$59)</c:f>
              <c:numCache>
                <c:formatCode>#,##0</c:formatCode>
                <c:ptCount val="4"/>
                <c:pt idx="0">
                  <c:v>477</c:v>
                </c:pt>
                <c:pt idx="1">
                  <c:v>109</c:v>
                </c:pt>
                <c:pt idx="2">
                  <c:v>42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E6-4CF1-BFB7-1824A9F93CF1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Skip!$B$9:$B$20</c15:sqref>
                  </c15:fullRef>
                </c:ext>
              </c:extLst>
              <c:f>(Skip!$B$13,Skip!$B$16,Skip!$B$18,Skip!$B$20)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Skip!$H$61:$H$72</c15:sqref>
                  </c15:fullRef>
                </c:ext>
              </c:extLst>
              <c:f>(Skip!$H$65,Skip!$H$68,Skip!$H$70,Skip!$H$72)</c:f>
              <c:numCache>
                <c:formatCode>#,##0</c:formatCode>
                <c:ptCount val="4"/>
                <c:pt idx="0">
                  <c:v>369</c:v>
                </c:pt>
                <c:pt idx="1">
                  <c:v>2</c:v>
                </c:pt>
                <c:pt idx="2">
                  <c:v>53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8E6-4CF1-BFB7-1824A9F93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Skip!$AN$28</c:f>
          <c:strCache>
            <c:ptCount val="1"/>
            <c:pt idx="0">
              <c:v>Breytingar á milli ára</c:v>
            </c:pt>
          </c:strCache>
        </c:strRef>
      </c:tx>
      <c:layout>
        <c:manualLayout>
          <c:xMode val="edge"/>
          <c:yMode val="edge"/>
          <c:x val="0.31473203608016825"/>
          <c:y val="2.2213399052344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7.6192393871832034E-2"/>
          <c:y val="0.11138432953390094"/>
          <c:w val="0.87131076116428263"/>
          <c:h val="0.78088218427926015"/>
        </c:manualLayout>
      </c:layout>
      <c:scatterChart>
        <c:scatterStyle val="lineMarker"/>
        <c:varyColors val="0"/>
        <c:ser>
          <c:idx val="2"/>
          <c:order val="0"/>
          <c:tx>
            <c:strRef>
              <c:f>Skip!$AP$30</c:f>
              <c:strCache>
                <c:ptCount val="1"/>
                <c:pt idx="0">
                  <c:v>Farþegaskip</c:v>
                </c:pt>
              </c:strCache>
            </c:strRef>
          </c:tx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Skip!$AP$31:$AP$34</c:f>
              <c:numCache>
                <c:formatCode>0.0%</c:formatCode>
                <c:ptCount val="4"/>
                <c:pt idx="0">
                  <c:v>-0.16642760503377749</c:v>
                </c:pt>
                <c:pt idx="1">
                  <c:v>0.23491809444419443</c:v>
                </c:pt>
                <c:pt idx="2">
                  <c:v>0.32678506380264771</c:v>
                </c:pt>
                <c:pt idx="3">
                  <c:v>-0.95455951071173983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790-47E0-A63D-7C410AC8BFCA}"/>
            </c:ext>
          </c:extLst>
        </c:ser>
        <c:ser>
          <c:idx val="3"/>
          <c:order val="1"/>
          <c:tx>
            <c:strRef>
              <c:f>Skip!$AO$30</c:f>
              <c:strCache>
                <c:ptCount val="1"/>
                <c:pt idx="0">
                  <c:v>Flutningaskip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pPr>
              <a:ln>
                <a:solidFill>
                  <a:srgbClr val="00B050"/>
                </a:solidFill>
              </a:ln>
            </c:spPr>
          </c:marker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Skip!$AO$31:$AO$34</c:f>
              <c:numCache>
                <c:formatCode>0.0%</c:formatCode>
                <c:ptCount val="4"/>
                <c:pt idx="0">
                  <c:v>0.19450568855047948</c:v>
                </c:pt>
                <c:pt idx="1">
                  <c:v>6.6143747914344159E-2</c:v>
                </c:pt>
                <c:pt idx="2">
                  <c:v>0.35562797137693192</c:v>
                </c:pt>
                <c:pt idx="3">
                  <c:v>0.1084006533125252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790-47E0-A63D-7C410AC8BFCA}"/>
            </c:ext>
          </c:extLst>
        </c:ser>
        <c:ser>
          <c:idx val="0"/>
          <c:order val="2"/>
          <c:tx>
            <c:strRef>
              <c:f>Skip!$AQ$30</c:f>
              <c:strCache>
                <c:ptCount val="1"/>
                <c:pt idx="0">
                  <c:v>Farþega- og flutningaskip</c:v>
                </c:pt>
              </c:strCache>
            </c:strRef>
          </c:tx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Skip!$AQ$31:$AQ$34</c:f>
              <c:numCache>
                <c:formatCode>0.0%</c:formatCode>
                <c:ptCount val="4"/>
                <c:pt idx="0">
                  <c:v>-4.9231682178763553E-3</c:v>
                </c:pt>
                <c:pt idx="1">
                  <c:v>0.14426230256221947</c:v>
                </c:pt>
                <c:pt idx="2">
                  <c:v>0.34122011514780265</c:v>
                </c:pt>
                <c:pt idx="3">
                  <c:v>-0.41686358364648496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790-47E0-A63D-7C410AC8BFCA}"/>
            </c:ext>
          </c:extLst>
        </c:ser>
        <c:ser>
          <c:idx val="1"/>
          <c:order val="3"/>
          <c:tx>
            <c:strRef>
              <c:f>Skip!$AR$30</c:f>
              <c:strCache>
                <c:ptCount val="1"/>
                <c:pt idx="0">
                  <c:v>Alls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Skip!$AR$31:$AR$34</c:f>
              <c:numCache>
                <c:formatCode>0.0%</c:formatCode>
                <c:ptCount val="4"/>
                <c:pt idx="0">
                  <c:v>-0.10158177291492375</c:v>
                </c:pt>
                <c:pt idx="1">
                  <c:v>0.15505645364164353</c:v>
                </c:pt>
                <c:pt idx="2">
                  <c:v>0.22989198096049024</c:v>
                </c:pt>
                <c:pt idx="3">
                  <c:v>-0.26435214805447493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790-47E0-A63D-7C410AC8B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valAx>
        <c:axId val="1040464111"/>
        <c:scaling>
          <c:orientation val="minMax"/>
          <c:max val="2020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Breytingar á milli ára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Skip!$BD$17</c:f>
              <c:strCache>
                <c:ptCount val="1"/>
                <c:pt idx="0">
                  <c:v>Skipakomur</c:v>
                </c:pt>
              </c:strCache>
            </c:strRef>
          </c:tx>
          <c:xVal>
            <c:numRef>
              <c:f>Skip!$AN$19:$AN$23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xVal>
          <c:yVal>
            <c:numRef>
              <c:f>Skip!$BD$19:$BD$23</c:f>
              <c:numCache>
                <c:formatCode>0.0%</c:formatCode>
                <c:ptCount val="5"/>
                <c:pt idx="0">
                  <c:v>5.5555555555555552E-2</c:v>
                </c:pt>
                <c:pt idx="1">
                  <c:v>0.16666666666666666</c:v>
                </c:pt>
                <c:pt idx="2">
                  <c:v>0.24812030075187969</c:v>
                </c:pt>
                <c:pt idx="3">
                  <c:v>0.14457831325301204</c:v>
                </c:pt>
                <c:pt idx="4">
                  <c:v>-0.9631578947368421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C35-42C6-8120-845243B1B3E1}"/>
            </c:ext>
          </c:extLst>
        </c:ser>
        <c:ser>
          <c:idx val="3"/>
          <c:order val="1"/>
          <c:tx>
            <c:strRef>
              <c:f>Skip!$BA$17</c:f>
              <c:strCache>
                <c:ptCount val="1"/>
                <c:pt idx="0">
                  <c:v>Farþegar</c:v>
                </c:pt>
              </c:strCache>
            </c:strRef>
          </c:tx>
          <c:xVal>
            <c:numRef>
              <c:f>Skip!$AN$19:$AN$23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xVal>
          <c:yVal>
            <c:numRef>
              <c:f>Skip!$BA$19:$BA$23</c:f>
              <c:numCache>
                <c:formatCode>0.0%</c:formatCode>
                <c:ptCount val="5"/>
                <c:pt idx="0">
                  <c:v>-1.3557283888360907E-2</c:v>
                </c:pt>
                <c:pt idx="1">
                  <c:v>0.25978175383405427</c:v>
                </c:pt>
                <c:pt idx="2">
                  <c:v>0.1591478403371181</c:v>
                </c:pt>
                <c:pt idx="3">
                  <c:v>0.22868741542625168</c:v>
                </c:pt>
                <c:pt idx="4">
                  <c:v>-0.98374865759309182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C35-42C6-8120-845243B1B3E1}"/>
            </c:ext>
          </c:extLst>
        </c:ser>
        <c:ser>
          <c:idx val="1"/>
          <c:order val="2"/>
          <c:tx>
            <c:strRef>
              <c:f>Skip!$BB$17</c:f>
              <c:strCache>
                <c:ptCount val="1"/>
                <c:pt idx="0">
                  <c:v>Áhöfn</c:v>
                </c:pt>
              </c:strCache>
            </c:strRef>
          </c:tx>
          <c:xVal>
            <c:numRef>
              <c:f>Skip!$AN$19:$AN$23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xVal>
          <c:yVal>
            <c:numRef>
              <c:f>Skip!$BB$19:$BB$23</c:f>
              <c:numCache>
                <c:formatCode>0.0%</c:formatCode>
                <c:ptCount val="5"/>
                <c:pt idx="0">
                  <c:v>5.580357142857143E-3</c:v>
                </c:pt>
                <c:pt idx="1">
                  <c:v>0.25547577521574666</c:v>
                </c:pt>
                <c:pt idx="2">
                  <c:v>0.15809699069062569</c:v>
                </c:pt>
                <c:pt idx="3">
                  <c:v>0.24399059058123412</c:v>
                </c:pt>
                <c:pt idx="4">
                  <c:v>-0.9787108812442864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C35-42C6-8120-845243B1B3E1}"/>
            </c:ext>
          </c:extLst>
        </c:ser>
        <c:ser>
          <c:idx val="0"/>
          <c:order val="3"/>
          <c:tx>
            <c:strRef>
              <c:f>Skip!$AZ$17</c:f>
              <c:strCache>
                <c:ptCount val="1"/>
                <c:pt idx="0">
                  <c:v>GRT</c:v>
                </c:pt>
              </c:strCache>
            </c:strRef>
          </c:tx>
          <c:xVal>
            <c:numRef>
              <c:f>Skip!$AN$19:$AN$23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xVal>
          <c:yVal>
            <c:numRef>
              <c:f>Skip!$AZ$19:$AZ$23</c:f>
              <c:numCache>
                <c:formatCode>0.0%</c:formatCode>
                <c:ptCount val="5"/>
                <c:pt idx="0">
                  <c:v>-1.79864794838628E-2</c:v>
                </c:pt>
                <c:pt idx="1">
                  <c:v>0.24605771709619986</c:v>
                </c:pt>
                <c:pt idx="2">
                  <c:v>0.15168299483919431</c:v>
                </c:pt>
                <c:pt idx="3">
                  <c:v>0.2646516837059425</c:v>
                </c:pt>
                <c:pt idx="4">
                  <c:v>-0.98522678499739624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C35-42C6-8120-845243B1B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valAx>
        <c:axId val="1040464111"/>
        <c:scaling>
          <c:orientation val="minMax"/>
          <c:max val="2020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6.2905976132339878E-2"/>
          <c:y val="0.91064691453227087"/>
          <c:w val="0.89999995692846546"/>
          <c:h val="7.223163302930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Skip!$AS$17</c:f>
              <c:strCache>
                <c:ptCount val="1"/>
                <c:pt idx="0">
                  <c:v>GRT</c:v>
                </c:pt>
              </c:strCache>
            </c:strRef>
          </c:tx>
          <c:xVal>
            <c:numRef>
              <c:f>Skip!$AN$18:$AN$23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xVal>
          <c:yVal>
            <c:numRef>
              <c:f>Skip!$AS$18:$AS$23</c:f>
              <c:numCache>
                <c:formatCode>General</c:formatCode>
                <c:ptCount val="6"/>
                <c:pt idx="0">
                  <c:v>4044816</c:v>
                </c:pt>
                <c:pt idx="1">
                  <c:v>3972064</c:v>
                </c:pt>
                <c:pt idx="2">
                  <c:v>4949421</c:v>
                </c:pt>
                <c:pt idx="3">
                  <c:v>5700164</c:v>
                </c:pt>
                <c:pt idx="4">
                  <c:v>7208722</c:v>
                </c:pt>
                <c:pt idx="5">
                  <c:v>106496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66-4FF9-8014-F55818C01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scatterChart>
        <c:scatterStyle val="lineMarker"/>
        <c:varyColors val="0"/>
        <c:ser>
          <c:idx val="1"/>
          <c:order val="1"/>
          <c:tx>
            <c:strRef>
              <c:f>Skip!$AT$17</c:f>
              <c:strCache>
                <c:ptCount val="1"/>
                <c:pt idx="0">
                  <c:v>Farþegar</c:v>
                </c:pt>
              </c:strCache>
            </c:strRef>
          </c:tx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Skip!$AN$18:$AN$23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xVal>
          <c:yVal>
            <c:numRef>
              <c:f>Skip!$AT$18:$AT$23</c:f>
              <c:numCache>
                <c:formatCode>General</c:formatCode>
                <c:ptCount val="6"/>
                <c:pt idx="0">
                  <c:v>103118</c:v>
                </c:pt>
                <c:pt idx="1">
                  <c:v>101720</c:v>
                </c:pt>
                <c:pt idx="2">
                  <c:v>128145</c:v>
                </c:pt>
                <c:pt idx="3">
                  <c:v>148539</c:v>
                </c:pt>
                <c:pt idx="4">
                  <c:v>182508</c:v>
                </c:pt>
                <c:pt idx="5">
                  <c:v>2966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66-4FF9-8014-F55818C01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8968847"/>
        <c:axId val="1047751135"/>
      </c:scatterChart>
      <c:valAx>
        <c:axId val="1040464111"/>
        <c:scaling>
          <c:orientation val="minMax"/>
          <c:max val="2020"/>
          <c:min val="20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Heildarþungi (GRT)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  <c:dispUnits>
          <c:builtInUnit val="hundredThousands"/>
          <c:dispUnitsLbl/>
        </c:dispUnits>
      </c:valAx>
      <c:valAx>
        <c:axId val="1047751135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Farþegar og áhöfn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8968847"/>
        <c:crosses val="max"/>
        <c:crossBetween val="midCat"/>
        <c:dispUnits>
          <c:builtInUnit val="hundredThousands"/>
          <c:dispUnitsLbl/>
        </c:dispUnits>
      </c:valAx>
      <c:valAx>
        <c:axId val="103896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7751135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4.4103513797496843E-2"/>
          <c:y val="0.88477375812663273"/>
          <c:w val="0.89999995692846546"/>
          <c:h val="7.2231633029303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Skip!$BJ$3:$BJ$64</c:f>
              <c:numCache>
                <c:formatCode>General</c:formatCode>
                <c:ptCount val="62"/>
                <c:pt idx="0">
                  <c:v>2015.5</c:v>
                </c:pt>
                <c:pt idx="1">
                  <c:v>2015.5833333333333</c:v>
                </c:pt>
                <c:pt idx="2">
                  <c:v>2015.6666666666665</c:v>
                </c:pt>
                <c:pt idx="3">
                  <c:v>2015.7499999999998</c:v>
                </c:pt>
                <c:pt idx="4">
                  <c:v>2015.833333333333</c:v>
                </c:pt>
                <c:pt idx="5">
                  <c:v>2015.9166666666663</c:v>
                </c:pt>
                <c:pt idx="6">
                  <c:v>2015.9999999999995</c:v>
                </c:pt>
                <c:pt idx="7">
                  <c:v>2016.0833333333328</c:v>
                </c:pt>
                <c:pt idx="8">
                  <c:v>2016.1666666666661</c:v>
                </c:pt>
                <c:pt idx="9">
                  <c:v>2016.2499999999993</c:v>
                </c:pt>
                <c:pt idx="10">
                  <c:v>2016.3333333333326</c:v>
                </c:pt>
                <c:pt idx="11">
                  <c:v>2016.4166666666658</c:v>
                </c:pt>
                <c:pt idx="12">
                  <c:v>2016.4999999999991</c:v>
                </c:pt>
                <c:pt idx="13">
                  <c:v>2016.5833333333323</c:v>
                </c:pt>
                <c:pt idx="14">
                  <c:v>2016.6666666666656</c:v>
                </c:pt>
                <c:pt idx="15">
                  <c:v>2016.7499999999989</c:v>
                </c:pt>
                <c:pt idx="16">
                  <c:v>2016.8333333333321</c:v>
                </c:pt>
                <c:pt idx="17">
                  <c:v>2016.9166666666654</c:v>
                </c:pt>
                <c:pt idx="18">
                  <c:v>2016.9999999999986</c:v>
                </c:pt>
                <c:pt idx="19">
                  <c:v>2017.0833333333319</c:v>
                </c:pt>
                <c:pt idx="20">
                  <c:v>2017.1666666666652</c:v>
                </c:pt>
                <c:pt idx="21">
                  <c:v>2017.2499999999984</c:v>
                </c:pt>
                <c:pt idx="22">
                  <c:v>2017.3333333333317</c:v>
                </c:pt>
                <c:pt idx="23">
                  <c:v>2017.4166666666649</c:v>
                </c:pt>
                <c:pt idx="24">
                  <c:v>2017.4999999999982</c:v>
                </c:pt>
                <c:pt idx="25">
                  <c:v>2017.5833333333314</c:v>
                </c:pt>
                <c:pt idx="26">
                  <c:v>2017.6666666666647</c:v>
                </c:pt>
                <c:pt idx="27">
                  <c:v>2017.749999999998</c:v>
                </c:pt>
                <c:pt idx="28">
                  <c:v>2017.8333333333312</c:v>
                </c:pt>
                <c:pt idx="29">
                  <c:v>2017.9166666666645</c:v>
                </c:pt>
                <c:pt idx="30">
                  <c:v>2017.9999999999977</c:v>
                </c:pt>
                <c:pt idx="31">
                  <c:v>2018.083333333331</c:v>
                </c:pt>
                <c:pt idx="32">
                  <c:v>2018.1666666666642</c:v>
                </c:pt>
                <c:pt idx="33">
                  <c:v>2018.2499999999975</c:v>
                </c:pt>
                <c:pt idx="34">
                  <c:v>2018.3333333333308</c:v>
                </c:pt>
                <c:pt idx="35">
                  <c:v>2018.416666666664</c:v>
                </c:pt>
                <c:pt idx="36">
                  <c:v>2018.4999999999973</c:v>
                </c:pt>
                <c:pt idx="37">
                  <c:v>2018.5833333333305</c:v>
                </c:pt>
                <c:pt idx="38">
                  <c:v>2018.6666666666638</c:v>
                </c:pt>
                <c:pt idx="39">
                  <c:v>2018.749999999997</c:v>
                </c:pt>
                <c:pt idx="40">
                  <c:v>2018.8333333333303</c:v>
                </c:pt>
                <c:pt idx="41">
                  <c:v>2018.9166666666636</c:v>
                </c:pt>
                <c:pt idx="42">
                  <c:v>2018.9999999999968</c:v>
                </c:pt>
                <c:pt idx="43">
                  <c:v>2019.0833333333301</c:v>
                </c:pt>
                <c:pt idx="44">
                  <c:v>2019.1666666666633</c:v>
                </c:pt>
                <c:pt idx="45">
                  <c:v>2019.2499999999966</c:v>
                </c:pt>
                <c:pt idx="46">
                  <c:v>2019.3333333333298</c:v>
                </c:pt>
                <c:pt idx="47">
                  <c:v>2019.4166666666631</c:v>
                </c:pt>
                <c:pt idx="48">
                  <c:v>2019.4999999999964</c:v>
                </c:pt>
                <c:pt idx="49">
                  <c:v>2019.5833333333296</c:v>
                </c:pt>
                <c:pt idx="50">
                  <c:v>2019.6666666666629</c:v>
                </c:pt>
                <c:pt idx="51">
                  <c:v>2019.7499999999961</c:v>
                </c:pt>
                <c:pt idx="52">
                  <c:v>2019.8333333333294</c:v>
                </c:pt>
                <c:pt idx="53">
                  <c:v>2019.9166666666626</c:v>
                </c:pt>
                <c:pt idx="54">
                  <c:v>2019.9999999999959</c:v>
                </c:pt>
                <c:pt idx="55">
                  <c:v>2020.0833333333292</c:v>
                </c:pt>
                <c:pt idx="56">
                  <c:v>2020.1666666666624</c:v>
                </c:pt>
                <c:pt idx="57">
                  <c:v>2020.2499999999957</c:v>
                </c:pt>
                <c:pt idx="58">
                  <c:v>2020.3333333333289</c:v>
                </c:pt>
                <c:pt idx="59">
                  <c:v>2020.4166666666622</c:v>
                </c:pt>
                <c:pt idx="60">
                  <c:v>2020.4999999999955</c:v>
                </c:pt>
                <c:pt idx="61">
                  <c:v>2020.5833333333287</c:v>
                </c:pt>
              </c:numCache>
            </c:numRef>
          </c:xVal>
          <c:yVal>
            <c:numRef>
              <c:f>Skip!$BK$3:$BK$64</c:f>
              <c:numCache>
                <c:formatCode>#,##0.00</c:formatCode>
                <c:ptCount val="62"/>
                <c:pt idx="0">
                  <c:v>54618.400000000001</c:v>
                </c:pt>
                <c:pt idx="1">
                  <c:v>48661</c:v>
                </c:pt>
                <c:pt idx="2">
                  <c:v>56252.4</c:v>
                </c:pt>
                <c:pt idx="3">
                  <c:v>50844.5</c:v>
                </c:pt>
                <c:pt idx="4">
                  <c:v>51994.1</c:v>
                </c:pt>
                <c:pt idx="5">
                  <c:v>57347.5</c:v>
                </c:pt>
                <c:pt idx="6">
                  <c:v>46533.1</c:v>
                </c:pt>
                <c:pt idx="7">
                  <c:v>45365.2</c:v>
                </c:pt>
                <c:pt idx="8">
                  <c:v>66309</c:v>
                </c:pt>
                <c:pt idx="9">
                  <c:v>53810.1</c:v>
                </c:pt>
                <c:pt idx="10">
                  <c:v>64035.6</c:v>
                </c:pt>
                <c:pt idx="11">
                  <c:v>63030.7</c:v>
                </c:pt>
                <c:pt idx="12">
                  <c:v>53653.5</c:v>
                </c:pt>
                <c:pt idx="13">
                  <c:v>53547.7</c:v>
                </c:pt>
                <c:pt idx="14">
                  <c:v>49609.9</c:v>
                </c:pt>
                <c:pt idx="15">
                  <c:v>47625.599999999999</c:v>
                </c:pt>
                <c:pt idx="16">
                  <c:v>52639.6</c:v>
                </c:pt>
                <c:pt idx="17">
                  <c:v>49451.6</c:v>
                </c:pt>
                <c:pt idx="18">
                  <c:v>46446.7</c:v>
                </c:pt>
                <c:pt idx="19">
                  <c:v>44502.9</c:v>
                </c:pt>
                <c:pt idx="20">
                  <c:v>55858.8</c:v>
                </c:pt>
                <c:pt idx="21">
                  <c:v>51902.9</c:v>
                </c:pt>
                <c:pt idx="22">
                  <c:v>73176.800000000003</c:v>
                </c:pt>
                <c:pt idx="23">
                  <c:v>59967.5</c:v>
                </c:pt>
                <c:pt idx="24">
                  <c:v>59997.599999999999</c:v>
                </c:pt>
                <c:pt idx="25">
                  <c:v>52056.800000000003</c:v>
                </c:pt>
                <c:pt idx="26">
                  <c:v>65984.7</c:v>
                </c:pt>
                <c:pt idx="27">
                  <c:v>62654.6</c:v>
                </c:pt>
                <c:pt idx="28">
                  <c:v>56669.9</c:v>
                </c:pt>
                <c:pt idx="29">
                  <c:v>66853.399999999994</c:v>
                </c:pt>
                <c:pt idx="30">
                  <c:v>51372.5</c:v>
                </c:pt>
                <c:pt idx="31">
                  <c:v>60322.400000000001</c:v>
                </c:pt>
                <c:pt idx="32">
                  <c:v>57062.7</c:v>
                </c:pt>
                <c:pt idx="33">
                  <c:v>62465.7</c:v>
                </c:pt>
                <c:pt idx="34">
                  <c:v>69336.2</c:v>
                </c:pt>
                <c:pt idx="35">
                  <c:v>70628.399999999994</c:v>
                </c:pt>
                <c:pt idx="36">
                  <c:v>68925.2</c:v>
                </c:pt>
                <c:pt idx="37">
                  <c:v>66549.600000000006</c:v>
                </c:pt>
                <c:pt idx="38">
                  <c:v>63039.9</c:v>
                </c:pt>
                <c:pt idx="39">
                  <c:v>73077.100000000006</c:v>
                </c:pt>
                <c:pt idx="40">
                  <c:v>72586.2</c:v>
                </c:pt>
                <c:pt idx="41">
                  <c:v>64250.3</c:v>
                </c:pt>
                <c:pt idx="42">
                  <c:v>52595.3</c:v>
                </c:pt>
                <c:pt idx="43">
                  <c:v>60429.1</c:v>
                </c:pt>
                <c:pt idx="44">
                  <c:v>61729.4</c:v>
                </c:pt>
                <c:pt idx="45">
                  <c:v>65567.8</c:v>
                </c:pt>
                <c:pt idx="46">
                  <c:v>66047.199999999997</c:v>
                </c:pt>
                <c:pt idx="47">
                  <c:v>74676.800000000003</c:v>
                </c:pt>
                <c:pt idx="48">
                  <c:v>71560.5</c:v>
                </c:pt>
                <c:pt idx="49">
                  <c:v>58093.4</c:v>
                </c:pt>
                <c:pt idx="50">
                  <c:v>69422.600000000006</c:v>
                </c:pt>
                <c:pt idx="51">
                  <c:v>64734.1</c:v>
                </c:pt>
                <c:pt idx="52">
                  <c:v>57174.6</c:v>
                </c:pt>
                <c:pt idx="53">
                  <c:v>53624.7</c:v>
                </c:pt>
                <c:pt idx="54">
                  <c:v>50798</c:v>
                </c:pt>
                <c:pt idx="55">
                  <c:v>49383.5</c:v>
                </c:pt>
                <c:pt idx="56">
                  <c:v>68943.5</c:v>
                </c:pt>
                <c:pt idx="57">
                  <c:v>47735.9</c:v>
                </c:pt>
                <c:pt idx="58">
                  <c:v>51382.8</c:v>
                </c:pt>
                <c:pt idx="59">
                  <c:v>59472</c:v>
                </c:pt>
                <c:pt idx="60">
                  <c:v>58235</c:v>
                </c:pt>
                <c:pt idx="61">
                  <c:v>55303.6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70-4373-9101-D3EE834511F3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Skip!$BJ$5:$BJ$64</c:f>
              <c:numCache>
                <c:formatCode>General</c:formatCode>
                <c:ptCount val="60"/>
                <c:pt idx="0">
                  <c:v>2015.6666666666665</c:v>
                </c:pt>
                <c:pt idx="1">
                  <c:v>2015.7499999999998</c:v>
                </c:pt>
                <c:pt idx="2">
                  <c:v>2015.833333333333</c:v>
                </c:pt>
                <c:pt idx="3">
                  <c:v>2015.9166666666663</c:v>
                </c:pt>
                <c:pt idx="4">
                  <c:v>2015.9999999999995</c:v>
                </c:pt>
                <c:pt idx="5">
                  <c:v>2016.0833333333328</c:v>
                </c:pt>
                <c:pt idx="6">
                  <c:v>2016.1666666666661</c:v>
                </c:pt>
                <c:pt idx="7">
                  <c:v>2016.2499999999993</c:v>
                </c:pt>
                <c:pt idx="8">
                  <c:v>2016.3333333333326</c:v>
                </c:pt>
                <c:pt idx="9">
                  <c:v>2016.4166666666658</c:v>
                </c:pt>
                <c:pt idx="10">
                  <c:v>2016.4999999999991</c:v>
                </c:pt>
                <c:pt idx="11">
                  <c:v>2016.5833333333323</c:v>
                </c:pt>
                <c:pt idx="12">
                  <c:v>2016.6666666666656</c:v>
                </c:pt>
                <c:pt idx="13">
                  <c:v>2016.7499999999989</c:v>
                </c:pt>
                <c:pt idx="14">
                  <c:v>2016.8333333333321</c:v>
                </c:pt>
                <c:pt idx="15">
                  <c:v>2016.9166666666654</c:v>
                </c:pt>
                <c:pt idx="16">
                  <c:v>2016.9999999999986</c:v>
                </c:pt>
                <c:pt idx="17">
                  <c:v>2017.0833333333319</c:v>
                </c:pt>
                <c:pt idx="18">
                  <c:v>2017.1666666666652</c:v>
                </c:pt>
                <c:pt idx="19">
                  <c:v>2017.2499999999984</c:v>
                </c:pt>
                <c:pt idx="20">
                  <c:v>2017.3333333333317</c:v>
                </c:pt>
                <c:pt idx="21">
                  <c:v>2017.4166666666649</c:v>
                </c:pt>
                <c:pt idx="22">
                  <c:v>2017.4999999999982</c:v>
                </c:pt>
                <c:pt idx="23">
                  <c:v>2017.5833333333314</c:v>
                </c:pt>
                <c:pt idx="24">
                  <c:v>2017.6666666666647</c:v>
                </c:pt>
                <c:pt idx="25">
                  <c:v>2017.749999999998</c:v>
                </c:pt>
                <c:pt idx="26">
                  <c:v>2017.8333333333312</c:v>
                </c:pt>
                <c:pt idx="27">
                  <c:v>2017.9166666666645</c:v>
                </c:pt>
                <c:pt idx="28">
                  <c:v>2017.9999999999977</c:v>
                </c:pt>
                <c:pt idx="29">
                  <c:v>2018.083333333331</c:v>
                </c:pt>
                <c:pt idx="30">
                  <c:v>2018.1666666666642</c:v>
                </c:pt>
                <c:pt idx="31">
                  <c:v>2018.2499999999975</c:v>
                </c:pt>
                <c:pt idx="32">
                  <c:v>2018.3333333333308</c:v>
                </c:pt>
                <c:pt idx="33">
                  <c:v>2018.416666666664</c:v>
                </c:pt>
                <c:pt idx="34">
                  <c:v>2018.4999999999973</c:v>
                </c:pt>
                <c:pt idx="35">
                  <c:v>2018.5833333333305</c:v>
                </c:pt>
                <c:pt idx="36">
                  <c:v>2018.6666666666638</c:v>
                </c:pt>
                <c:pt idx="37">
                  <c:v>2018.749999999997</c:v>
                </c:pt>
                <c:pt idx="38">
                  <c:v>2018.8333333333303</c:v>
                </c:pt>
                <c:pt idx="39">
                  <c:v>2018.9166666666636</c:v>
                </c:pt>
                <c:pt idx="40">
                  <c:v>2018.9999999999968</c:v>
                </c:pt>
                <c:pt idx="41">
                  <c:v>2019.0833333333301</c:v>
                </c:pt>
                <c:pt idx="42">
                  <c:v>2019.1666666666633</c:v>
                </c:pt>
                <c:pt idx="43">
                  <c:v>2019.2499999999966</c:v>
                </c:pt>
                <c:pt idx="44">
                  <c:v>2019.3333333333298</c:v>
                </c:pt>
                <c:pt idx="45">
                  <c:v>2019.4166666666631</c:v>
                </c:pt>
                <c:pt idx="46">
                  <c:v>2019.4999999999964</c:v>
                </c:pt>
                <c:pt idx="47">
                  <c:v>2019.5833333333296</c:v>
                </c:pt>
                <c:pt idx="48">
                  <c:v>2019.6666666666629</c:v>
                </c:pt>
                <c:pt idx="49">
                  <c:v>2019.7499999999961</c:v>
                </c:pt>
                <c:pt idx="50">
                  <c:v>2019.8333333333294</c:v>
                </c:pt>
                <c:pt idx="51">
                  <c:v>2019.9166666666626</c:v>
                </c:pt>
                <c:pt idx="52">
                  <c:v>2019.9999999999959</c:v>
                </c:pt>
                <c:pt idx="53">
                  <c:v>2020.0833333333292</c:v>
                </c:pt>
                <c:pt idx="54">
                  <c:v>2020.1666666666624</c:v>
                </c:pt>
                <c:pt idx="55">
                  <c:v>2020.2499999999957</c:v>
                </c:pt>
                <c:pt idx="56">
                  <c:v>2020.3333333333289</c:v>
                </c:pt>
                <c:pt idx="57">
                  <c:v>2020.4166666666622</c:v>
                </c:pt>
                <c:pt idx="58">
                  <c:v>2020.4999999999955</c:v>
                </c:pt>
                <c:pt idx="59">
                  <c:v>2020.5833333333287</c:v>
                </c:pt>
              </c:numCache>
            </c:numRef>
          </c:xVal>
          <c:yVal>
            <c:numRef>
              <c:f>Skip!$BU$5:$BU$64</c:f>
              <c:numCache>
                <c:formatCode>0.0</c:formatCode>
                <c:ptCount val="60"/>
                <c:pt idx="0">
                  <c:v>47830.5</c:v>
                </c:pt>
                <c:pt idx="1">
                  <c:v>46838</c:v>
                </c:pt>
                <c:pt idx="2">
                  <c:v>51495.7</c:v>
                </c:pt>
                <c:pt idx="3">
                  <c:v>48080.800000000003</c:v>
                </c:pt>
                <c:pt idx="4">
                  <c:v>45877.599999999999</c:v>
                </c:pt>
                <c:pt idx="5">
                  <c:v>42520.5</c:v>
                </c:pt>
                <c:pt idx="6">
                  <c:v>44203.1</c:v>
                </c:pt>
                <c:pt idx="7">
                  <c:v>47222.8</c:v>
                </c:pt>
                <c:pt idx="8">
                  <c:v>46768.7</c:v>
                </c:pt>
                <c:pt idx="9">
                  <c:v>48352.9</c:v>
                </c:pt>
                <c:pt idx="10">
                  <c:v>43861.5</c:v>
                </c:pt>
                <c:pt idx="11">
                  <c:v>40617.4</c:v>
                </c:pt>
                <c:pt idx="12">
                  <c:v>46332.4</c:v>
                </c:pt>
                <c:pt idx="13">
                  <c:v>49157</c:v>
                </c:pt>
                <c:pt idx="14">
                  <c:v>41015.199999999997</c:v>
                </c:pt>
                <c:pt idx="15">
                  <c:v>41515.699999999997</c:v>
                </c:pt>
                <c:pt idx="16">
                  <c:v>37693.599999999999</c:v>
                </c:pt>
                <c:pt idx="17">
                  <c:v>33443.599999999999</c:v>
                </c:pt>
                <c:pt idx="18">
                  <c:v>39625.699999999997</c:v>
                </c:pt>
                <c:pt idx="19">
                  <c:v>41323.5</c:v>
                </c:pt>
                <c:pt idx="20">
                  <c:v>49096.9</c:v>
                </c:pt>
                <c:pt idx="21">
                  <c:v>44976</c:v>
                </c:pt>
                <c:pt idx="22">
                  <c:v>38653.1</c:v>
                </c:pt>
                <c:pt idx="23">
                  <c:v>45161.4</c:v>
                </c:pt>
                <c:pt idx="24">
                  <c:v>44869.2</c:v>
                </c:pt>
                <c:pt idx="25">
                  <c:v>55768.6</c:v>
                </c:pt>
                <c:pt idx="26">
                  <c:v>45789.1</c:v>
                </c:pt>
                <c:pt idx="27">
                  <c:v>43211.7</c:v>
                </c:pt>
                <c:pt idx="28">
                  <c:v>48365.2</c:v>
                </c:pt>
                <c:pt idx="29">
                  <c:v>46196.800000000003</c:v>
                </c:pt>
                <c:pt idx="30">
                  <c:v>45685</c:v>
                </c:pt>
                <c:pt idx="31">
                  <c:v>44121.1</c:v>
                </c:pt>
                <c:pt idx="32">
                  <c:v>52417.3</c:v>
                </c:pt>
                <c:pt idx="33">
                  <c:v>50449.3</c:v>
                </c:pt>
                <c:pt idx="34">
                  <c:v>50469.8</c:v>
                </c:pt>
                <c:pt idx="35">
                  <c:v>47773</c:v>
                </c:pt>
                <c:pt idx="36">
                  <c:v>48786.8</c:v>
                </c:pt>
                <c:pt idx="37">
                  <c:v>60961.4</c:v>
                </c:pt>
                <c:pt idx="38">
                  <c:v>53795.5</c:v>
                </c:pt>
                <c:pt idx="39">
                  <c:v>53081.2</c:v>
                </c:pt>
                <c:pt idx="40">
                  <c:v>76557</c:v>
                </c:pt>
                <c:pt idx="41">
                  <c:v>44705</c:v>
                </c:pt>
                <c:pt idx="42">
                  <c:v>52704.9</c:v>
                </c:pt>
                <c:pt idx="43">
                  <c:v>50232.2</c:v>
                </c:pt>
                <c:pt idx="44">
                  <c:v>63230.5</c:v>
                </c:pt>
                <c:pt idx="45">
                  <c:v>45688.3</c:v>
                </c:pt>
                <c:pt idx="46">
                  <c:v>51508.800000000003</c:v>
                </c:pt>
                <c:pt idx="47">
                  <c:v>45886.400000000001</c:v>
                </c:pt>
                <c:pt idx="48">
                  <c:v>50404.6</c:v>
                </c:pt>
                <c:pt idx="49">
                  <c:v>65051.4</c:v>
                </c:pt>
                <c:pt idx="50">
                  <c:v>52114.1</c:v>
                </c:pt>
                <c:pt idx="51">
                  <c:v>42871.1</c:v>
                </c:pt>
                <c:pt idx="52">
                  <c:v>46755.4</c:v>
                </c:pt>
                <c:pt idx="53">
                  <c:v>46096.2</c:v>
                </c:pt>
                <c:pt idx="54">
                  <c:v>56167.5</c:v>
                </c:pt>
                <c:pt idx="55">
                  <c:v>47267.199999999997</c:v>
                </c:pt>
                <c:pt idx="56">
                  <c:v>52949.1</c:v>
                </c:pt>
                <c:pt idx="57">
                  <c:v>46495.1</c:v>
                </c:pt>
                <c:pt idx="58">
                  <c:v>46768.1</c:v>
                </c:pt>
                <c:pt idx="59">
                  <c:v>44056.6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70-4373-9101-D3EE83451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3985695"/>
        <c:axId val="1060000335"/>
      </c:scatterChart>
      <c:valAx>
        <c:axId val="1183985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60000335"/>
        <c:crosses val="autoZero"/>
        <c:crossBetween val="midCat"/>
      </c:valAx>
      <c:valAx>
        <c:axId val="1060000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83985695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Skip!$M$3</c:f>
          <c:strCache>
            <c:ptCount val="1"/>
            <c:pt idx="0">
              <c:v>Gamla höfnin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Skip!$R$9:$R$20</c15:sqref>
                  </c15:fullRef>
                </c:ext>
              </c:extLst>
              <c:f>(Skip!$R$13,Skip!$R$16,Skip!$R$18,Skip!$R$20)</c:f>
              <c:numCache>
                <c:formatCode>#,##0</c:formatCode>
                <c:ptCount val="4"/>
                <c:pt idx="0">
                  <c:v>113</c:v>
                </c:pt>
                <c:pt idx="1">
                  <c:v>48</c:v>
                </c:pt>
                <c:pt idx="2">
                  <c:v>513</c:v>
                </c:pt>
                <c:pt idx="3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8B-43E0-8D8A-84C8D3DE9F4F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Skip!$R$22:$R$33</c15:sqref>
                  </c15:fullRef>
                </c:ext>
              </c:extLst>
              <c:f>(Skip!$R$26,Skip!$R$29,Skip!$R$31,Skip!$R$33)</c:f>
              <c:numCache>
                <c:formatCode>#,##0</c:formatCode>
                <c:ptCount val="4"/>
                <c:pt idx="0">
                  <c:v>122</c:v>
                </c:pt>
                <c:pt idx="1">
                  <c:v>55</c:v>
                </c:pt>
                <c:pt idx="2">
                  <c:v>356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8B-43E0-8D8A-84C8D3DE9F4F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Skip!$R$35:$R$46</c15:sqref>
                  </c15:fullRef>
                </c:ext>
              </c:extLst>
              <c:f>(Skip!$R$39,Skip!$R$42,Skip!$R$44,Skip!$R$46)</c:f>
              <c:numCache>
                <c:formatCode>#,##0</c:formatCode>
                <c:ptCount val="4"/>
                <c:pt idx="0">
                  <c:v>123</c:v>
                </c:pt>
                <c:pt idx="1">
                  <c:v>66</c:v>
                </c:pt>
                <c:pt idx="2">
                  <c:v>368</c:v>
                </c:pt>
                <c:pt idx="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8B-43E0-8D8A-84C8D3DE9F4F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Skip!$R$48:$R$59</c15:sqref>
                  </c15:fullRef>
                </c:ext>
              </c:extLst>
              <c:f>(Skip!$R$52,Skip!$R$55,Skip!$R$57,Skip!$R$59)</c:f>
              <c:numCache>
                <c:formatCode>#,##0</c:formatCode>
                <c:ptCount val="4"/>
                <c:pt idx="0">
                  <c:v>143</c:v>
                </c:pt>
                <c:pt idx="1">
                  <c:v>66</c:v>
                </c:pt>
                <c:pt idx="2">
                  <c:v>294</c:v>
                </c:pt>
                <c:pt idx="3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8B-43E0-8D8A-84C8D3DE9F4F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Skip!$R$61:$R$72</c15:sqref>
                  </c15:fullRef>
                </c:ext>
              </c:extLst>
              <c:f>(Skip!$R$65,Skip!$R$68,Skip!$R$70,Skip!$R$72)</c:f>
              <c:numCache>
                <c:formatCode>#,##0</c:formatCode>
                <c:ptCount val="4"/>
                <c:pt idx="0">
                  <c:v>153</c:v>
                </c:pt>
                <c:pt idx="1">
                  <c:v>6</c:v>
                </c:pt>
                <c:pt idx="2">
                  <c:v>240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8B-43E0-8D8A-84C8D3DE9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Mælaborð!$B$60</c:f>
          <c:strCache>
            <c:ptCount val="1"/>
            <c:pt idx="0">
              <c:v>BASIC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Losun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Reykjavík!$M$103:$Q$103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Reykjavík!$M$104:$Q$104</c:f>
              <c:numCache>
                <c:formatCode>#,##0</c:formatCode>
                <c:ptCount val="5"/>
                <c:pt idx="0">
                  <c:v>441341.94261458382</c:v>
                </c:pt>
                <c:pt idx="1">
                  <c:v>469781.04198926548</c:v>
                </c:pt>
                <c:pt idx="2">
                  <c:v>485211.08940230665</c:v>
                </c:pt>
                <c:pt idx="3">
                  <c:v>493523.55139576521</c:v>
                </c:pt>
                <c:pt idx="4">
                  <c:v>434079.08773527306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5-4A5C-9261-8EFD92EA7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41811855"/>
        <c:axId val="1132602367"/>
      </c:barChart>
      <c:lineChart>
        <c:grouping val="standard"/>
        <c:varyColors val="0"/>
        <c:ser>
          <c:idx val="1"/>
          <c:order val="1"/>
          <c:tx>
            <c:v>Losun á íbúa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Reykjavík!$M$103:$Q$103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Reykjavík!$M$105:$Q$105</c:f>
              <c:numCache>
                <c:formatCode>#,##0.00</c:formatCode>
                <c:ptCount val="5"/>
                <c:pt idx="0">
                  <c:v>3.6163712111978352</c:v>
                </c:pt>
                <c:pt idx="1">
                  <c:v>3.8271367982832216</c:v>
                </c:pt>
                <c:pt idx="2">
                  <c:v>3.8681964460147538</c:v>
                </c:pt>
                <c:pt idx="3">
                  <c:v>3.856948438895607</c:v>
                </c:pt>
                <c:pt idx="4">
                  <c:v>3.3312542706363768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5-4A5C-9261-8EFD92EA7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8432623"/>
        <c:axId val="3597487"/>
      </c:lineChart>
      <c:catAx>
        <c:axId val="1341811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32602367"/>
        <c:crosses val="autoZero"/>
        <c:auto val="1"/>
        <c:lblAlgn val="ctr"/>
        <c:lblOffset val="100"/>
        <c:noMultiLvlLbl val="0"/>
      </c:catAx>
      <c:valAx>
        <c:axId val="113260236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41811855"/>
        <c:crosses val="autoZero"/>
        <c:crossBetween val="between"/>
      </c:valAx>
      <c:valAx>
        <c:axId val="3597487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300">
                  <a:effectLst/>
                </a:endParaRPr>
              </a:p>
            </c:rich>
          </c:tx>
          <c:layout>
            <c:manualLayout>
              <c:xMode val="edge"/>
              <c:yMode val="edge"/>
              <c:x val="0.94784544703873919"/>
              <c:y val="0.297496204866283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138432623"/>
        <c:crosses val="max"/>
        <c:crossBetween val="between"/>
      </c:valAx>
      <c:catAx>
        <c:axId val="11384326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974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Skip!$M$3</c:f>
          <c:strCache>
            <c:ptCount val="1"/>
            <c:pt idx="0">
              <c:v>Gamla höfnin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Skip!$P$9:$P$20</c15:sqref>
                  </c15:fullRef>
                </c:ext>
              </c:extLst>
              <c:f>(Skip!$P$13,Skip!$P$16,Skip!$P$18:$P$20)</c:f>
              <c:numCache>
                <c:formatCode>#,##0</c:formatCode>
                <c:ptCount val="5"/>
                <c:pt idx="0">
                  <c:v>1152.226103</c:v>
                </c:pt>
                <c:pt idx="1">
                  <c:v>1457.8159599999999</c:v>
                </c:pt>
                <c:pt idx="2">
                  <c:v>6211.4049999999997</c:v>
                </c:pt>
                <c:pt idx="3">
                  <c:v>4283.5609999999997</c:v>
                </c:pt>
                <c:pt idx="4">
                  <c:v>1178.4461800000001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FA-42F4-B81A-6DD957BF0B1E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Skip!$P$22:$P$33</c15:sqref>
                  </c15:fullRef>
                </c:ext>
              </c:extLst>
              <c:f>(Skip!$P$26,Skip!$P$29,Skip!$P$31:$P$33)</c:f>
              <c:numCache>
                <c:formatCode>#,##0</c:formatCode>
                <c:ptCount val="5"/>
                <c:pt idx="0">
                  <c:v>1079.9075969999999</c:v>
                </c:pt>
                <c:pt idx="1">
                  <c:v>1129.7352000000001</c:v>
                </c:pt>
                <c:pt idx="2">
                  <c:v>5805.1783999999998</c:v>
                </c:pt>
                <c:pt idx="3">
                  <c:v>846.87019999999995</c:v>
                </c:pt>
                <c:pt idx="4">
                  <c:v>1179.7946000000002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FA-42F4-B81A-6DD957BF0B1E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Skip!$P$35:$P$46</c15:sqref>
                  </c15:fullRef>
                </c:ext>
              </c:extLst>
              <c:f>(Skip!$P$39,Skip!$P$42,Skip!$P$44:$P$46)</c:f>
              <c:numCache>
                <c:formatCode>#,##0</c:formatCode>
                <c:ptCount val="5"/>
                <c:pt idx="0">
                  <c:v>1068.4290959999998</c:v>
                </c:pt>
                <c:pt idx="1">
                  <c:v>2056.6404200000002</c:v>
                </c:pt>
                <c:pt idx="2">
                  <c:v>7564.3499999999995</c:v>
                </c:pt>
                <c:pt idx="3">
                  <c:v>820.54463999999996</c:v>
                </c:pt>
                <c:pt idx="4">
                  <c:v>1299.8464999999999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FA-42F4-B81A-6DD957BF0B1E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Skip!$P$48:$P$59</c15:sqref>
                  </c15:fullRef>
                </c:ext>
              </c:extLst>
              <c:f>(Skip!$P$52,Skip!$P$55,Skip!$P$57:$P$59)</c:f>
              <c:numCache>
                <c:formatCode>#,##0</c:formatCode>
                <c:ptCount val="5"/>
                <c:pt idx="0">
                  <c:v>1830.6551888000001</c:v>
                </c:pt>
                <c:pt idx="1">
                  <c:v>2269.7289260000002</c:v>
                </c:pt>
                <c:pt idx="2">
                  <c:v>8151.4780000000001</c:v>
                </c:pt>
                <c:pt idx="3">
                  <c:v>894.36400000000003</c:v>
                </c:pt>
                <c:pt idx="4">
                  <c:v>1067.47156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FA-42F4-B81A-6DD957BF0B1E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Hvalaskoðunarskip</c:v>
              </c:pt>
              <c:pt idx="4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Skip!$P$61:$P$72</c15:sqref>
                  </c15:fullRef>
                </c:ext>
              </c:extLst>
              <c:f>(Skip!$P$65,Skip!$P$68,Skip!$P$70:$P$72)</c:f>
              <c:numCache>
                <c:formatCode>#,##0</c:formatCode>
                <c:ptCount val="5"/>
                <c:pt idx="0">
                  <c:v>1323.5758699999999</c:v>
                </c:pt>
                <c:pt idx="1">
                  <c:v>553.44195999999999</c:v>
                </c:pt>
                <c:pt idx="2">
                  <c:v>8868.3269999999993</c:v>
                </c:pt>
                <c:pt idx="3">
                  <c:v>350.09008</c:v>
                </c:pt>
                <c:pt idx="4">
                  <c:v>682.5012999999999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FA-42F4-B81A-6DD957BF0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Losun (tonn</a:t>
                </a:r>
                <a:r>
                  <a:rPr lang="is-IS" baseline="0"/>
                  <a:t> CO</a:t>
                </a:r>
                <a:r>
                  <a:rPr lang="is-IS" baseline="-25000"/>
                  <a:t>2</a:t>
                </a:r>
                <a:r>
                  <a:rPr lang="is-IS" baseline="0"/>
                  <a:t> ígilda)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25864464223014"/>
          <c:y val="0.21614902823074666"/>
          <c:w val="9.7754488126199621E-2"/>
          <c:h val="0.421517386845662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Skip!$AD$3</c:f>
          <c:strCache>
            <c:ptCount val="1"/>
            <c:pt idx="0">
              <c:v>Hafnarsvæði Reykjavíkur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Skip!$AG$9:$AG$20</c15:sqref>
                  </c15:fullRef>
                </c:ext>
              </c:extLst>
              <c:f>(Skip!$AG$13,Skip!$AG$16,Skip!$AG$18:$AG$20)</c:f>
              <c:numCache>
                <c:formatCode>#,##0</c:formatCode>
                <c:ptCount val="5"/>
                <c:pt idx="0">
                  <c:v>11406.129335000001</c:v>
                </c:pt>
                <c:pt idx="1">
                  <c:v>14084.51296</c:v>
                </c:pt>
                <c:pt idx="2">
                  <c:v>8275.8826000000008</c:v>
                </c:pt>
                <c:pt idx="3">
                  <c:v>4283.5609999999997</c:v>
                </c:pt>
                <c:pt idx="4">
                  <c:v>1967.3286800000001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5-403A-A177-DEA09BEA399D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Skip!$AG$22:$AG$33</c15:sqref>
                  </c15:fullRef>
                </c:ext>
              </c:extLst>
              <c:f>(Skip!$AG$26,Skip!$AG$29,Skip!$AG$31:$AG$33)</c:f>
              <c:numCache>
                <c:formatCode>#,##0</c:formatCode>
                <c:ptCount val="5"/>
                <c:pt idx="0">
                  <c:v>13624.686374999999</c:v>
                </c:pt>
                <c:pt idx="1">
                  <c:v>11740.4612</c:v>
                </c:pt>
                <c:pt idx="2">
                  <c:v>7908.3365999999996</c:v>
                </c:pt>
                <c:pt idx="3">
                  <c:v>846.87019999999995</c:v>
                </c:pt>
                <c:pt idx="4">
                  <c:v>1832.02028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C5-403A-A177-DEA09BEA399D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Skip!$AG$35:$AG$46</c15:sqref>
                  </c15:fullRef>
                </c:ext>
              </c:extLst>
              <c:f>(Skip!$AG$39,Skip!$AG$42,Skip!$AG$44:$AG$46)</c:f>
              <c:numCache>
                <c:formatCode>#,##0</c:formatCode>
                <c:ptCount val="5"/>
                <c:pt idx="0">
                  <c:v>14525.874195999999</c:v>
                </c:pt>
                <c:pt idx="1">
                  <c:v>14498.507973</c:v>
                </c:pt>
                <c:pt idx="2">
                  <c:v>9556.3616000000002</c:v>
                </c:pt>
                <c:pt idx="3">
                  <c:v>820.54463999999996</c:v>
                </c:pt>
                <c:pt idx="4">
                  <c:v>2125.73396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C5-403A-A177-DEA09BEA399D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Skip!$B$35:$B$46</c15:sqref>
                  </c15:fullRef>
                </c:ext>
              </c:extLst>
              <c:f>(Skip!$B$39,Skip!$B$42,Skip!$B$44:$B$46)</c:f>
              <c:strCache>
                <c:ptCount val="5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Hvalaskoðunarskip</c:v>
                </c:pt>
                <c:pt idx="4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Skip!$AG$48:$AG$59</c15:sqref>
                  </c15:fullRef>
                </c:ext>
              </c:extLst>
              <c:f>(Skip!$AG$52,Skip!$AG$55,Skip!$AG$57:$AG$59)</c:f>
              <c:numCache>
                <c:formatCode>#,##0</c:formatCode>
                <c:ptCount val="5"/>
                <c:pt idx="0">
                  <c:v>19691.6813688</c:v>
                </c:pt>
                <c:pt idx="1">
                  <c:v>19236.403826000002</c:v>
                </c:pt>
                <c:pt idx="2">
                  <c:v>10032.291499999999</c:v>
                </c:pt>
                <c:pt idx="3">
                  <c:v>894.36400000000003</c:v>
                </c:pt>
                <c:pt idx="4">
                  <c:v>1219.0111100000001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C5-403A-A177-DEA09BEA399D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5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Hvalaskoðunarskip</c:v>
              </c:pt>
              <c:pt idx="4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Skip!$AG$61:$AG$72</c15:sqref>
                  </c15:fullRef>
                </c:ext>
              </c:extLst>
              <c:f>(Skip!$AG$65,Skip!$AG$68,Skip!$AG$70:$AG$72)</c:f>
              <c:numCache>
                <c:formatCode>#,##0</c:formatCode>
                <c:ptCount val="5"/>
                <c:pt idx="0">
                  <c:v>21826.272494000001</c:v>
                </c:pt>
                <c:pt idx="1">
                  <c:v>874.11160200000006</c:v>
                </c:pt>
                <c:pt idx="2">
                  <c:v>13660.6332</c:v>
                </c:pt>
                <c:pt idx="3">
                  <c:v>350.09008</c:v>
                </c:pt>
                <c:pt idx="4">
                  <c:v>861.18843000000004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C5-403A-A177-DEA09BEA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Losun (tonn</a:t>
                </a:r>
                <a:r>
                  <a:rPr lang="is-IS" baseline="0"/>
                  <a:t> CO</a:t>
                </a:r>
                <a:r>
                  <a:rPr lang="is-IS" baseline="-25000"/>
                  <a:t>2</a:t>
                </a:r>
                <a:r>
                  <a:rPr lang="is-IS" baseline="0"/>
                  <a:t> ígilda)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625864464223014"/>
          <c:y val="0.21614902823074666"/>
          <c:w val="9.712270539408227E-2"/>
          <c:h val="0.42450906466292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Skip!$AD$3</c:f>
          <c:strCache>
            <c:ptCount val="1"/>
            <c:pt idx="0">
              <c:v>Hafnarsvæði Reykjavíkur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Skip!$A$9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Skip!$AI$9:$AI$20</c15:sqref>
                  </c15:fullRef>
                </c:ext>
              </c:extLst>
              <c:f>(Skip!$AI$13,Skip!$AI$16,Skip!$AI$18,Skip!$AI$20)</c:f>
              <c:numCache>
                <c:formatCode>#,##0</c:formatCode>
                <c:ptCount val="4"/>
                <c:pt idx="0">
                  <c:v>499</c:v>
                </c:pt>
                <c:pt idx="1">
                  <c:v>110</c:v>
                </c:pt>
                <c:pt idx="2">
                  <c:v>583</c:v>
                </c:pt>
                <c:pt idx="3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2-4242-BDD5-5B0702EB8E3F}"/>
            </c:ext>
          </c:extLst>
        </c:ser>
        <c:ser>
          <c:idx val="1"/>
          <c:order val="1"/>
          <c:tx>
            <c:strRef>
              <c:f>Skip!$A$22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Skip!$AI$22:$AI$33</c15:sqref>
                  </c15:fullRef>
                </c:ext>
              </c:extLst>
              <c:f>(Skip!$AI$26,Skip!$AI$29,Skip!$AI$31,Skip!$AI$33)</c:f>
              <c:numCache>
                <c:formatCode>#,##0</c:formatCode>
                <c:ptCount val="4"/>
                <c:pt idx="0">
                  <c:v>582</c:v>
                </c:pt>
                <c:pt idx="1">
                  <c:v>135</c:v>
                </c:pt>
                <c:pt idx="2">
                  <c:v>468</c:v>
                </c:pt>
                <c:pt idx="3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2-4242-BDD5-5B0702EB8E3F}"/>
            </c:ext>
          </c:extLst>
        </c:ser>
        <c:ser>
          <c:idx val="2"/>
          <c:order val="2"/>
          <c:tx>
            <c:strRef>
              <c:f>Skip!$A$35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Skip!$AI$35:$AI$46</c15:sqref>
                  </c15:fullRef>
                </c:ext>
              </c:extLst>
              <c:f>(Skip!$AI$39,Skip!$AI$42,Skip!$AI$44,Skip!$AI$46)</c:f>
              <c:numCache>
                <c:formatCode>#,##0</c:formatCode>
                <c:ptCount val="4"/>
                <c:pt idx="0">
                  <c:v>558</c:v>
                </c:pt>
                <c:pt idx="1">
                  <c:v>150</c:v>
                </c:pt>
                <c:pt idx="2">
                  <c:v>446</c:v>
                </c:pt>
                <c:pt idx="3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2-4242-BDD5-5B0702EB8E3F}"/>
            </c:ext>
          </c:extLst>
        </c:ser>
        <c:ser>
          <c:idx val="3"/>
          <c:order val="3"/>
          <c:tx>
            <c:strRef>
              <c:f>Skip!$A$48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Skip!$B$48:$B$59</c15:sqref>
                  </c15:fullRef>
                </c:ext>
              </c:extLst>
              <c:f>(Skip!$B$52,Skip!$B$55,Skip!$B$57,Skip!$B$59)</c:f>
              <c:strCache>
                <c:ptCount val="4"/>
                <c:pt idx="0">
                  <c:v>Flutningaskip</c:v>
                </c:pt>
                <c:pt idx="1">
                  <c:v>Farþegaskip</c:v>
                </c:pt>
                <c:pt idx="2">
                  <c:v>Fiskiskip</c:v>
                </c:pt>
                <c:pt idx="3">
                  <c:v>Önnur skip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Skip!$AI$48:$AI$59</c15:sqref>
                  </c15:fullRef>
                </c:ext>
              </c:extLst>
              <c:f>(Skip!$AI$52,Skip!$AI$55,Skip!$AI$57,Skip!$AI$59)</c:f>
              <c:numCache>
                <c:formatCode>#,##0</c:formatCode>
                <c:ptCount val="4"/>
                <c:pt idx="0">
                  <c:v>620</c:v>
                </c:pt>
                <c:pt idx="1">
                  <c:v>175</c:v>
                </c:pt>
                <c:pt idx="2">
                  <c:v>336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2-4242-BDD5-5B0702EB8E3F}"/>
            </c:ext>
          </c:extLst>
        </c:ser>
        <c:ser>
          <c:idx val="4"/>
          <c:order val="4"/>
          <c:tx>
            <c:strRef>
              <c:f>Skip!$A$61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Lit>
              <c:ptCount val="4"/>
              <c:pt idx="0">
                <c:v>Flutningaskip</c:v>
              </c:pt>
              <c:pt idx="1">
                <c:v>Farþegaskip</c:v>
              </c:pt>
              <c:pt idx="2">
                <c:v>Fiskiskip</c:v>
              </c:pt>
              <c:pt idx="3">
                <c:v>Önnur skip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Skip!$AI$61:$AI$72</c15:sqref>
                  </c15:fullRef>
                </c:ext>
              </c:extLst>
              <c:f>(Skip!$AI$65,Skip!$AI$68,Skip!$AI$70,Skip!$AI$72)</c:f>
              <c:numCache>
                <c:formatCode>#,##0</c:formatCode>
                <c:ptCount val="4"/>
                <c:pt idx="0">
                  <c:v>522</c:v>
                </c:pt>
                <c:pt idx="1">
                  <c:v>8</c:v>
                </c:pt>
                <c:pt idx="2">
                  <c:v>293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52-4242-BDD5-5B0702EB8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5961695"/>
        <c:axId val="2085971999"/>
      </c:barChart>
      <c:catAx>
        <c:axId val="208596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71999"/>
        <c:crosses val="autoZero"/>
        <c:auto val="1"/>
        <c:lblAlgn val="ctr"/>
        <c:lblOffset val="100"/>
        <c:noMultiLvlLbl val="0"/>
      </c:catAx>
      <c:valAx>
        <c:axId val="2085971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Fjöldi skipakoma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9616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Skip!$AN$28</c:f>
          <c:strCache>
            <c:ptCount val="1"/>
            <c:pt idx="0">
              <c:v>Breytingar á milli ára</c:v>
            </c:pt>
          </c:strCache>
        </c:strRef>
      </c:tx>
      <c:layout>
        <c:manualLayout>
          <c:xMode val="edge"/>
          <c:yMode val="edge"/>
          <c:x val="0.31473203608016825"/>
          <c:y val="2.2213399052344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7.6192393871832034E-2"/>
          <c:y val="0.11138432953390094"/>
          <c:w val="0.87131076116428263"/>
          <c:h val="0.78088218427926015"/>
        </c:manualLayout>
      </c:layout>
      <c:scatterChart>
        <c:scatterStyle val="lineMarker"/>
        <c:varyColors val="0"/>
        <c:ser>
          <c:idx val="2"/>
          <c:order val="0"/>
          <c:tx>
            <c:strRef>
              <c:f>Skip!$AP$30</c:f>
              <c:strCache>
                <c:ptCount val="1"/>
                <c:pt idx="0">
                  <c:v>Farþegaskip</c:v>
                </c:pt>
              </c:strCache>
            </c:strRef>
          </c:tx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Skip!$AP$31:$AP$34</c:f>
              <c:numCache>
                <c:formatCode>0.0%</c:formatCode>
                <c:ptCount val="4"/>
                <c:pt idx="0">
                  <c:v>-0.16642760503377749</c:v>
                </c:pt>
                <c:pt idx="1">
                  <c:v>0.23491809444419443</c:v>
                </c:pt>
                <c:pt idx="2">
                  <c:v>0.32678506380264771</c:v>
                </c:pt>
                <c:pt idx="3">
                  <c:v>-0.95455951071173983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8F-4DC4-85AB-B83893BBE215}"/>
            </c:ext>
          </c:extLst>
        </c:ser>
        <c:ser>
          <c:idx val="3"/>
          <c:order val="1"/>
          <c:tx>
            <c:strRef>
              <c:f>Skip!$AO$30</c:f>
              <c:strCache>
                <c:ptCount val="1"/>
                <c:pt idx="0">
                  <c:v>Flutningaskip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pPr>
              <a:ln>
                <a:solidFill>
                  <a:srgbClr val="00B050"/>
                </a:solidFill>
              </a:ln>
            </c:spPr>
          </c:marker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Skip!$AO$31:$AO$34</c:f>
              <c:numCache>
                <c:formatCode>0.0%</c:formatCode>
                <c:ptCount val="4"/>
                <c:pt idx="0">
                  <c:v>0.19450568855047948</c:v>
                </c:pt>
                <c:pt idx="1">
                  <c:v>6.6143747914344159E-2</c:v>
                </c:pt>
                <c:pt idx="2">
                  <c:v>0.35562797137693192</c:v>
                </c:pt>
                <c:pt idx="3">
                  <c:v>0.1084006533125252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8F-4DC4-85AB-B83893BBE215}"/>
            </c:ext>
          </c:extLst>
        </c:ser>
        <c:ser>
          <c:idx val="0"/>
          <c:order val="2"/>
          <c:tx>
            <c:strRef>
              <c:f>Skip!$AQ$30</c:f>
              <c:strCache>
                <c:ptCount val="1"/>
                <c:pt idx="0">
                  <c:v>Farþega- og flutningaskip</c:v>
                </c:pt>
              </c:strCache>
            </c:strRef>
          </c:tx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Skip!$AQ$31:$AQ$34</c:f>
              <c:numCache>
                <c:formatCode>0.0%</c:formatCode>
                <c:ptCount val="4"/>
                <c:pt idx="0">
                  <c:v>-4.9231682178763553E-3</c:v>
                </c:pt>
                <c:pt idx="1">
                  <c:v>0.14426230256221947</c:v>
                </c:pt>
                <c:pt idx="2">
                  <c:v>0.34122011514780265</c:v>
                </c:pt>
                <c:pt idx="3">
                  <c:v>-0.41686358364648496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8F-4DC4-85AB-B83893BBE215}"/>
            </c:ext>
          </c:extLst>
        </c:ser>
        <c:ser>
          <c:idx val="1"/>
          <c:order val="3"/>
          <c:tx>
            <c:strRef>
              <c:f>Skip!$AR$30</c:f>
              <c:strCache>
                <c:ptCount val="1"/>
                <c:pt idx="0">
                  <c:v>Alls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Skip!$AN$31:$AN$34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Skip!$AR$31:$AR$34</c:f>
              <c:numCache>
                <c:formatCode>0.0%</c:formatCode>
                <c:ptCount val="4"/>
                <c:pt idx="0">
                  <c:v>-0.10158177291492375</c:v>
                </c:pt>
                <c:pt idx="1">
                  <c:v>0.15505645364164353</c:v>
                </c:pt>
                <c:pt idx="2">
                  <c:v>0.22989198096049024</c:v>
                </c:pt>
                <c:pt idx="3">
                  <c:v>-0.26435214805447493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8F-4DC4-85AB-B83893BBE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464111"/>
        <c:axId val="1036699407"/>
      </c:scatterChart>
      <c:valAx>
        <c:axId val="1040464111"/>
        <c:scaling>
          <c:orientation val="minMax"/>
          <c:max val="2020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36699407"/>
        <c:crosses val="autoZero"/>
        <c:crossBetween val="midCat"/>
        <c:majorUnit val="1"/>
      </c:valAx>
      <c:valAx>
        <c:axId val="1036699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4046411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Flug!$V$6</c:f>
              <c:strCache>
                <c:ptCount val="1"/>
                <c:pt idx="0">
                  <c:v>Farþegar</c:v>
                </c:pt>
              </c:strCache>
            </c:strRef>
          </c:tx>
          <c:xVal>
            <c:numRef>
              <c:f>Flug!$U$7:$U$11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xVal>
          <c:yVal>
            <c:numRef>
              <c:f>Flug!$V$7:$V$11</c:f>
              <c:numCache>
                <c:formatCode>#,##0</c:formatCode>
                <c:ptCount val="5"/>
                <c:pt idx="0">
                  <c:v>417309</c:v>
                </c:pt>
                <c:pt idx="1">
                  <c:v>425515</c:v>
                </c:pt>
                <c:pt idx="2">
                  <c:v>394445</c:v>
                </c:pt>
                <c:pt idx="3">
                  <c:v>356428</c:v>
                </c:pt>
                <c:pt idx="4">
                  <c:v>164214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D26-4644-A550-DFB5C696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Flug!$W$6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Flug!$U$7:$U$11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xVal>
          <c:yVal>
            <c:numRef>
              <c:f>Flug!$W$7:$W$11</c:f>
              <c:numCache>
                <c:formatCode>#,##0</c:formatCode>
                <c:ptCount val="5"/>
                <c:pt idx="0">
                  <c:v>63732</c:v>
                </c:pt>
                <c:pt idx="1">
                  <c:v>64656</c:v>
                </c:pt>
                <c:pt idx="2">
                  <c:v>61220</c:v>
                </c:pt>
                <c:pt idx="3">
                  <c:v>62658</c:v>
                </c:pt>
                <c:pt idx="4">
                  <c:v>40561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D26-4644-A550-DFB5C6964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0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37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Flug!$V$6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Flug!$U$16:$U$19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Flug!$V$16:$V$19</c:f>
              <c:numCache>
                <c:formatCode>0.0%</c:formatCode>
                <c:ptCount val="4"/>
                <c:pt idx="0">
                  <c:v>1.9664085845260946E-2</c:v>
                </c:pt>
                <c:pt idx="1">
                  <c:v>-7.3017402441747065E-2</c:v>
                </c:pt>
                <c:pt idx="2">
                  <c:v>-9.638099101268871E-2</c:v>
                </c:pt>
                <c:pt idx="3">
                  <c:v>-0.53927862008596406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7D-43A7-9B40-E76F9296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Flug!$W$6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Flug!$U$16:$U$19</c:f>
              <c:numCache>
                <c:formatCode>General</c:formatCode>
                <c:ptCount val="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</c:numCache>
            </c:numRef>
          </c:xVal>
          <c:yVal>
            <c:numRef>
              <c:f>Flug!$W$16:$W$19</c:f>
              <c:numCache>
                <c:formatCode>0.0%</c:formatCode>
                <c:ptCount val="4"/>
                <c:pt idx="0">
                  <c:v>1.4498211259649783E-2</c:v>
                </c:pt>
                <c:pt idx="1">
                  <c:v>-5.314278643900025E-2</c:v>
                </c:pt>
                <c:pt idx="2">
                  <c:v>2.3489055864096699E-2</c:v>
                </c:pt>
                <c:pt idx="3">
                  <c:v>-0.35266047432091674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7D-43A7-9B40-E76F9296E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0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</c:valAx>
      <c:valAx>
        <c:axId val="1214363791"/>
        <c:scaling>
          <c:orientation val="minMax"/>
          <c:max val="0.15000000000000002"/>
          <c:min val="-0.6000000000000000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Flug!$P$9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Flug!$B$63:$B$74</c:f>
              <c:strCache>
                <c:ptCount val="12"/>
                <c:pt idx="0">
                  <c:v>Janúar</c:v>
                </c:pt>
                <c:pt idx="1">
                  <c:v>Febrúar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September</c:v>
                </c:pt>
                <c:pt idx="9">
                  <c:v>Október</c:v>
                </c:pt>
                <c:pt idx="10">
                  <c:v>Nóvember</c:v>
                </c:pt>
                <c:pt idx="11">
                  <c:v>Desember</c:v>
                </c:pt>
              </c:strCache>
            </c:strRef>
          </c:xVal>
          <c:yVal>
            <c:numRef>
              <c:f>Flug!$P$63:$P$74</c:f>
              <c:numCache>
                <c:formatCode>0.0%</c:formatCode>
                <c:ptCount val="12"/>
                <c:pt idx="0">
                  <c:v>-0.13431950154706904</c:v>
                </c:pt>
                <c:pt idx="1">
                  <c:v>-0.12055282733470089</c:v>
                </c:pt>
                <c:pt idx="2">
                  <c:v>-0.31145568610118718</c:v>
                </c:pt>
                <c:pt idx="3">
                  <c:v>-0.45094120381129443</c:v>
                </c:pt>
                <c:pt idx="4">
                  <c:v>-0.51931568921727089</c:v>
                </c:pt>
                <c:pt idx="5">
                  <c:v>-0.51655632995045042</c:v>
                </c:pt>
                <c:pt idx="6">
                  <c:v>-0.50469008996924369</c:v>
                </c:pt>
                <c:pt idx="7">
                  <c:v>-0.51389186371222928</c:v>
                </c:pt>
                <c:pt idx="8">
                  <c:v>-0.51425707842645951</c:v>
                </c:pt>
                <c:pt idx="9">
                  <c:v>-0.53290421594879089</c:v>
                </c:pt>
                <c:pt idx="10">
                  <c:v>-0.54607773703760154</c:v>
                </c:pt>
                <c:pt idx="11">
                  <c:v>-0.53927862008596406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9F-42B3-84BD-9A2E899813FE}"/>
            </c:ext>
          </c:extLst>
        </c:ser>
        <c:ser>
          <c:idx val="1"/>
          <c:order val="1"/>
          <c:tx>
            <c:strRef>
              <c:f>Flug!$Q$9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Flug!$B$63:$B$74</c:f>
              <c:strCache>
                <c:ptCount val="12"/>
                <c:pt idx="0">
                  <c:v>Janúar</c:v>
                </c:pt>
                <c:pt idx="1">
                  <c:v>Febrúar</c:v>
                </c:pt>
                <c:pt idx="2">
                  <c:v>Mars</c:v>
                </c:pt>
                <c:pt idx="3">
                  <c:v>Apríl</c:v>
                </c:pt>
                <c:pt idx="4">
                  <c:v>Maí</c:v>
                </c:pt>
                <c:pt idx="5">
                  <c:v>Júní</c:v>
                </c:pt>
                <c:pt idx="6">
                  <c:v>Júlí</c:v>
                </c:pt>
                <c:pt idx="7">
                  <c:v>Ágúst</c:v>
                </c:pt>
                <c:pt idx="8">
                  <c:v>September</c:v>
                </c:pt>
                <c:pt idx="9">
                  <c:v>Október</c:v>
                </c:pt>
                <c:pt idx="10">
                  <c:v>Nóvember</c:v>
                </c:pt>
                <c:pt idx="11">
                  <c:v>Desember</c:v>
                </c:pt>
              </c:strCache>
            </c:strRef>
          </c:xVal>
          <c:yVal>
            <c:numRef>
              <c:f>Flug!$Q$63:$Q$74</c:f>
              <c:numCache>
                <c:formatCode>0.0%</c:formatCode>
                <c:ptCount val="12"/>
                <c:pt idx="0">
                  <c:v>-0.41278026905829596</c:v>
                </c:pt>
                <c:pt idx="1">
                  <c:v>-0.2887290733317614</c:v>
                </c:pt>
                <c:pt idx="2">
                  <c:v>-0.38375666353088744</c:v>
                </c:pt>
                <c:pt idx="3">
                  <c:v>-0.43675606262656197</c:v>
                </c:pt>
                <c:pt idx="4">
                  <c:v>-0.43381889617850922</c:v>
                </c:pt>
                <c:pt idx="5">
                  <c:v>-0.41770092782262924</c:v>
                </c:pt>
                <c:pt idx="6">
                  <c:v>-0.36469693127060615</c:v>
                </c:pt>
                <c:pt idx="7">
                  <c:v>-0.35106848835172533</c:v>
                </c:pt>
                <c:pt idx="8">
                  <c:v>-0.33939490509291531</c:v>
                </c:pt>
                <c:pt idx="9">
                  <c:v>-0.34390876859534342</c:v>
                </c:pt>
                <c:pt idx="10">
                  <c:v>-0.36338775033767445</c:v>
                </c:pt>
                <c:pt idx="11">
                  <c:v>-0.35266047432091674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9F-42B3-84BD-9A2E89981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7463231"/>
        <c:axId val="1214367119"/>
      </c:scatterChart>
      <c:valAx>
        <c:axId val="13074632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7119"/>
        <c:crosses val="autoZero"/>
        <c:crossBetween val="midCat"/>
      </c:valAx>
      <c:valAx>
        <c:axId val="1214367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74632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Flug!$AP$9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Flug!$AO$22:$AO$73</c:f>
              <c:numCache>
                <c:formatCode>General</c:formatCode>
                <c:ptCount val="52"/>
                <c:pt idx="0">
                  <c:v>2016.9999999999991</c:v>
                </c:pt>
                <c:pt idx="1">
                  <c:v>2017.0833333333323</c:v>
                </c:pt>
                <c:pt idx="2">
                  <c:v>2017.1666666666656</c:v>
                </c:pt>
                <c:pt idx="3">
                  <c:v>2017.2499999999989</c:v>
                </c:pt>
                <c:pt idx="4">
                  <c:v>2017.3333333333321</c:v>
                </c:pt>
                <c:pt idx="5">
                  <c:v>2017.4166666666654</c:v>
                </c:pt>
                <c:pt idx="6">
                  <c:v>2017.4999999999986</c:v>
                </c:pt>
                <c:pt idx="7">
                  <c:v>2017.5833333333319</c:v>
                </c:pt>
                <c:pt idx="8">
                  <c:v>2017.6666666666652</c:v>
                </c:pt>
                <c:pt idx="9">
                  <c:v>2017.7499999999984</c:v>
                </c:pt>
                <c:pt idx="10">
                  <c:v>2017.8333333333317</c:v>
                </c:pt>
                <c:pt idx="11">
                  <c:v>2017.9166666666649</c:v>
                </c:pt>
                <c:pt idx="12">
                  <c:v>2017.9999999999982</c:v>
                </c:pt>
                <c:pt idx="13">
                  <c:v>2018.0833333333314</c:v>
                </c:pt>
                <c:pt idx="14">
                  <c:v>2018.1666666666647</c:v>
                </c:pt>
                <c:pt idx="15">
                  <c:v>2018.249999999998</c:v>
                </c:pt>
                <c:pt idx="16">
                  <c:v>2018.3333333333312</c:v>
                </c:pt>
                <c:pt idx="17">
                  <c:v>2018.4166666666645</c:v>
                </c:pt>
                <c:pt idx="18">
                  <c:v>2018.4999999999977</c:v>
                </c:pt>
                <c:pt idx="19">
                  <c:v>2018.583333333331</c:v>
                </c:pt>
                <c:pt idx="20">
                  <c:v>2018.6666666666642</c:v>
                </c:pt>
                <c:pt idx="21">
                  <c:v>2018.7499999999975</c:v>
                </c:pt>
                <c:pt idx="22">
                  <c:v>2018.8333333333308</c:v>
                </c:pt>
                <c:pt idx="23">
                  <c:v>2018.916666666664</c:v>
                </c:pt>
                <c:pt idx="24">
                  <c:v>2018.9999999999973</c:v>
                </c:pt>
                <c:pt idx="25">
                  <c:v>2019.0833333333305</c:v>
                </c:pt>
                <c:pt idx="26">
                  <c:v>2019.1666666666638</c:v>
                </c:pt>
                <c:pt idx="27">
                  <c:v>2019.249999999997</c:v>
                </c:pt>
                <c:pt idx="28">
                  <c:v>2019.3333333333303</c:v>
                </c:pt>
                <c:pt idx="29">
                  <c:v>2019.4166666666636</c:v>
                </c:pt>
                <c:pt idx="30">
                  <c:v>2019.4999999999968</c:v>
                </c:pt>
                <c:pt idx="31">
                  <c:v>2019.5833333333301</c:v>
                </c:pt>
                <c:pt idx="32">
                  <c:v>2019.6666666666633</c:v>
                </c:pt>
                <c:pt idx="33">
                  <c:v>2019.7499999999966</c:v>
                </c:pt>
                <c:pt idx="34">
                  <c:v>2019.8333333333298</c:v>
                </c:pt>
                <c:pt idx="35">
                  <c:v>2019.9166666666631</c:v>
                </c:pt>
                <c:pt idx="36">
                  <c:v>2019.9999999999964</c:v>
                </c:pt>
                <c:pt idx="37">
                  <c:v>2020.0833333333296</c:v>
                </c:pt>
                <c:pt idx="38">
                  <c:v>2020.1666666666629</c:v>
                </c:pt>
                <c:pt idx="39">
                  <c:v>2020.2499999999961</c:v>
                </c:pt>
                <c:pt idx="40">
                  <c:v>2020.3333333333294</c:v>
                </c:pt>
                <c:pt idx="41">
                  <c:v>2020.4166666666626</c:v>
                </c:pt>
                <c:pt idx="42">
                  <c:v>2020.4999999999959</c:v>
                </c:pt>
                <c:pt idx="43">
                  <c:v>2020.5833333333292</c:v>
                </c:pt>
                <c:pt idx="44">
                  <c:v>2020.6666666666624</c:v>
                </c:pt>
                <c:pt idx="45">
                  <c:v>2020.7499999999957</c:v>
                </c:pt>
                <c:pt idx="46">
                  <c:v>2020.8333333333289</c:v>
                </c:pt>
                <c:pt idx="47">
                  <c:v>2020.9166666666622</c:v>
                </c:pt>
                <c:pt idx="48">
                  <c:v>2020.9999999999955</c:v>
                </c:pt>
                <c:pt idx="49">
                  <c:v>2021.0833333333287</c:v>
                </c:pt>
                <c:pt idx="50">
                  <c:v>2021.166666666662</c:v>
                </c:pt>
                <c:pt idx="51">
                  <c:v>2021.2499999999952</c:v>
                </c:pt>
              </c:numCache>
            </c:numRef>
          </c:xVal>
          <c:yVal>
            <c:numRef>
              <c:f>Flug!$AP$22:$AP$73</c:f>
              <c:numCache>
                <c:formatCode>0.0%</c:formatCode>
                <c:ptCount val="52"/>
                <c:pt idx="0">
                  <c:v>-5.2820589555588805E-2</c:v>
                </c:pt>
                <c:pt idx="1">
                  <c:v>-5.219985085756898E-2</c:v>
                </c:pt>
                <c:pt idx="2">
                  <c:v>0.1015451849539566</c:v>
                </c:pt>
                <c:pt idx="3">
                  <c:v>-4.3893485970260687E-2</c:v>
                </c:pt>
                <c:pt idx="4">
                  <c:v>9.0703823643007817E-2</c:v>
                </c:pt>
                <c:pt idx="5">
                  <c:v>6.3871033568003263E-2</c:v>
                </c:pt>
                <c:pt idx="6">
                  <c:v>-4.6558746736292428E-2</c:v>
                </c:pt>
                <c:pt idx="7">
                  <c:v>1.3588634959851761E-2</c:v>
                </c:pt>
                <c:pt idx="8">
                  <c:v>-2.7555813840863964E-2</c:v>
                </c:pt>
                <c:pt idx="9">
                  <c:v>8.1580662361514303E-2</c:v>
                </c:pt>
                <c:pt idx="10">
                  <c:v>5.0229877170109107E-2</c:v>
                </c:pt>
                <c:pt idx="11">
                  <c:v>9.0789105307363116E-2</c:v>
                </c:pt>
                <c:pt idx="12">
                  <c:v>6.0703001579778829E-2</c:v>
                </c:pt>
                <c:pt idx="13">
                  <c:v>-8.9979257563836637E-2</c:v>
                </c:pt>
                <c:pt idx="14">
                  <c:v>-0.21806279755157559</c:v>
                </c:pt>
                <c:pt idx="15">
                  <c:v>-1.8122661460875225E-2</c:v>
                </c:pt>
                <c:pt idx="16">
                  <c:v>-6.3793854870342129E-2</c:v>
                </c:pt>
                <c:pt idx="17">
                  <c:v>-7.8042581758895183E-2</c:v>
                </c:pt>
                <c:pt idx="18">
                  <c:v>-4.927047276869824E-2</c:v>
                </c:pt>
                <c:pt idx="19">
                  <c:v>-3.6899283447855598E-2</c:v>
                </c:pt>
                <c:pt idx="20">
                  <c:v>-8.2470119521912355E-2</c:v>
                </c:pt>
                <c:pt idx="21">
                  <c:v>-4.4944127957931637E-2</c:v>
                </c:pt>
                <c:pt idx="22">
                  <c:v>-0.12113688337144723</c:v>
                </c:pt>
                <c:pt idx="23">
                  <c:v>-0.13111868881311187</c:v>
                </c:pt>
                <c:pt idx="24">
                  <c:v>-0.12153256134341141</c:v>
                </c:pt>
                <c:pt idx="25">
                  <c:v>-3.0574550027509237E-2</c:v>
                </c:pt>
                <c:pt idx="26">
                  <c:v>0.20291378248106404</c:v>
                </c:pt>
                <c:pt idx="27">
                  <c:v>-0.13440254490025846</c:v>
                </c:pt>
                <c:pt idx="28">
                  <c:v>-9.7556008146639506E-2</c:v>
                </c:pt>
                <c:pt idx="29">
                  <c:v>-0.13777858684627989</c:v>
                </c:pt>
                <c:pt idx="30">
                  <c:v>-0.14761389036108485</c:v>
                </c:pt>
                <c:pt idx="31">
                  <c:v>-0.15543385770078327</c:v>
                </c:pt>
                <c:pt idx="32">
                  <c:v>-0.13365718627876683</c:v>
                </c:pt>
                <c:pt idx="33">
                  <c:v>-0.15456969975050902</c:v>
                </c:pt>
                <c:pt idx="34">
                  <c:v>-4.1335216712512078E-2</c:v>
                </c:pt>
                <c:pt idx="35">
                  <c:v>-8.0600919947672697E-2</c:v>
                </c:pt>
                <c:pt idx="36">
                  <c:v>-0.13431950154706904</c:v>
                </c:pt>
                <c:pt idx="37">
                  <c:v>-0.10738608723852765</c:v>
                </c:pt>
                <c:pt idx="38">
                  <c:v>-0.58902747650036158</c:v>
                </c:pt>
                <c:pt idx="39">
                  <c:v>-0.88588163234055584</c:v>
                </c:pt>
                <c:pt idx="40">
                  <c:v>-0.75645613695715253</c:v>
                </c:pt>
                <c:pt idx="41">
                  <c:v>-0.50502186698838791</c:v>
                </c:pt>
                <c:pt idx="42">
                  <c:v>-0.44959584763861482</c:v>
                </c:pt>
                <c:pt idx="43">
                  <c:v>-0.56351236146632566</c:v>
                </c:pt>
                <c:pt idx="44">
                  <c:v>-0.51708799298311559</c:v>
                </c:pt>
                <c:pt idx="45">
                  <c:v>-0.70960957905091415</c:v>
                </c:pt>
                <c:pt idx="46">
                  <c:v>-0.70383869716944547</c:v>
                </c:pt>
                <c:pt idx="47">
                  <c:v>-0.43484646807729382</c:v>
                </c:pt>
                <c:pt idx="48">
                  <c:v>-0.53927862008596406</c:v>
                </c:pt>
                <c:pt idx="49">
                  <c:v>-0.32486290638464549</c:v>
                </c:pt>
                <c:pt idx="50">
                  <c:v>-0.24728643444298107</c:v>
                </c:pt>
                <c:pt idx="51">
                  <c:v>0.50326222417711308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94-4AB5-A0F7-5E8FF2B0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654463"/>
        <c:axId val="1308770159"/>
      </c:scatterChart>
      <c:scatterChart>
        <c:scatterStyle val="lineMarker"/>
        <c:varyColors val="0"/>
        <c:ser>
          <c:idx val="1"/>
          <c:order val="1"/>
          <c:tx>
            <c:strRef>
              <c:f>Flug!$AQ$9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Flug!$AO$22:$AO$73</c:f>
              <c:numCache>
                <c:formatCode>General</c:formatCode>
                <c:ptCount val="52"/>
                <c:pt idx="0">
                  <c:v>2016.9999999999991</c:v>
                </c:pt>
                <c:pt idx="1">
                  <c:v>2017.0833333333323</c:v>
                </c:pt>
                <c:pt idx="2">
                  <c:v>2017.1666666666656</c:v>
                </c:pt>
                <c:pt idx="3">
                  <c:v>2017.2499999999989</c:v>
                </c:pt>
                <c:pt idx="4">
                  <c:v>2017.3333333333321</c:v>
                </c:pt>
                <c:pt idx="5">
                  <c:v>2017.4166666666654</c:v>
                </c:pt>
                <c:pt idx="6">
                  <c:v>2017.4999999999986</c:v>
                </c:pt>
                <c:pt idx="7">
                  <c:v>2017.5833333333319</c:v>
                </c:pt>
                <c:pt idx="8">
                  <c:v>2017.6666666666652</c:v>
                </c:pt>
                <c:pt idx="9">
                  <c:v>2017.7499999999984</c:v>
                </c:pt>
                <c:pt idx="10">
                  <c:v>2017.8333333333317</c:v>
                </c:pt>
                <c:pt idx="11">
                  <c:v>2017.9166666666649</c:v>
                </c:pt>
                <c:pt idx="12">
                  <c:v>2017.9999999999982</c:v>
                </c:pt>
                <c:pt idx="13">
                  <c:v>2018.0833333333314</c:v>
                </c:pt>
                <c:pt idx="14">
                  <c:v>2018.1666666666647</c:v>
                </c:pt>
                <c:pt idx="15">
                  <c:v>2018.249999999998</c:v>
                </c:pt>
                <c:pt idx="16">
                  <c:v>2018.3333333333312</c:v>
                </c:pt>
                <c:pt idx="17">
                  <c:v>2018.4166666666645</c:v>
                </c:pt>
                <c:pt idx="18">
                  <c:v>2018.4999999999977</c:v>
                </c:pt>
                <c:pt idx="19">
                  <c:v>2018.583333333331</c:v>
                </c:pt>
                <c:pt idx="20">
                  <c:v>2018.6666666666642</c:v>
                </c:pt>
                <c:pt idx="21">
                  <c:v>2018.7499999999975</c:v>
                </c:pt>
                <c:pt idx="22">
                  <c:v>2018.8333333333308</c:v>
                </c:pt>
                <c:pt idx="23">
                  <c:v>2018.916666666664</c:v>
                </c:pt>
                <c:pt idx="24">
                  <c:v>2018.9999999999973</c:v>
                </c:pt>
                <c:pt idx="25">
                  <c:v>2019.0833333333305</c:v>
                </c:pt>
                <c:pt idx="26">
                  <c:v>2019.1666666666638</c:v>
                </c:pt>
                <c:pt idx="27">
                  <c:v>2019.249999999997</c:v>
                </c:pt>
                <c:pt idx="28">
                  <c:v>2019.3333333333303</c:v>
                </c:pt>
                <c:pt idx="29">
                  <c:v>2019.4166666666636</c:v>
                </c:pt>
                <c:pt idx="30">
                  <c:v>2019.4999999999968</c:v>
                </c:pt>
                <c:pt idx="31">
                  <c:v>2019.5833333333301</c:v>
                </c:pt>
                <c:pt idx="32">
                  <c:v>2019.6666666666633</c:v>
                </c:pt>
                <c:pt idx="33">
                  <c:v>2019.7499999999966</c:v>
                </c:pt>
                <c:pt idx="34">
                  <c:v>2019.8333333333298</c:v>
                </c:pt>
                <c:pt idx="35">
                  <c:v>2019.9166666666631</c:v>
                </c:pt>
                <c:pt idx="36">
                  <c:v>2019.9999999999964</c:v>
                </c:pt>
                <c:pt idx="37">
                  <c:v>2020.0833333333296</c:v>
                </c:pt>
                <c:pt idx="38">
                  <c:v>2020.1666666666629</c:v>
                </c:pt>
                <c:pt idx="39">
                  <c:v>2020.2499999999961</c:v>
                </c:pt>
                <c:pt idx="40">
                  <c:v>2020.3333333333294</c:v>
                </c:pt>
                <c:pt idx="41">
                  <c:v>2020.4166666666626</c:v>
                </c:pt>
                <c:pt idx="42">
                  <c:v>2020.4999999999959</c:v>
                </c:pt>
                <c:pt idx="43">
                  <c:v>2020.5833333333292</c:v>
                </c:pt>
                <c:pt idx="44">
                  <c:v>2020.6666666666624</c:v>
                </c:pt>
                <c:pt idx="45">
                  <c:v>2020.7499999999957</c:v>
                </c:pt>
                <c:pt idx="46">
                  <c:v>2020.8333333333289</c:v>
                </c:pt>
                <c:pt idx="47">
                  <c:v>2020.9166666666622</c:v>
                </c:pt>
                <c:pt idx="48">
                  <c:v>2020.9999999999955</c:v>
                </c:pt>
                <c:pt idx="49">
                  <c:v>2021.0833333333287</c:v>
                </c:pt>
                <c:pt idx="50">
                  <c:v>2021.166666666662</c:v>
                </c:pt>
                <c:pt idx="51">
                  <c:v>2021.2499999999952</c:v>
                </c:pt>
              </c:numCache>
            </c:numRef>
          </c:xVal>
          <c:yVal>
            <c:numRef>
              <c:f>Flug!$AQ$22:$AQ$73</c:f>
              <c:numCache>
                <c:formatCode>0.0%</c:formatCode>
                <c:ptCount val="52"/>
                <c:pt idx="0">
                  <c:v>-0.45719082260772242</c:v>
                </c:pt>
                <c:pt idx="1">
                  <c:v>-0.39149383829275625</c:v>
                </c:pt>
                <c:pt idx="2">
                  <c:v>1.0741744701823559</c:v>
                </c:pt>
                <c:pt idx="3">
                  <c:v>-0.41833577593225857</c:v>
                </c:pt>
                <c:pt idx="4">
                  <c:v>-0.10846245530393325</c:v>
                </c:pt>
                <c:pt idx="5">
                  <c:v>0.3007531106745252</c:v>
                </c:pt>
                <c:pt idx="6">
                  <c:v>-1.1626217119604709E-2</c:v>
                </c:pt>
                <c:pt idx="7">
                  <c:v>-0.26066802999318339</c:v>
                </c:pt>
                <c:pt idx="8">
                  <c:v>-7.7912665337923539E-3</c:v>
                </c:pt>
                <c:pt idx="9">
                  <c:v>0.55373172608361121</c:v>
                </c:pt>
                <c:pt idx="10">
                  <c:v>0.11669128508124077</c:v>
                </c:pt>
                <c:pt idx="11">
                  <c:v>1.2992938620315047</c:v>
                </c:pt>
                <c:pt idx="12">
                  <c:v>0.53608247422680411</c:v>
                </c:pt>
                <c:pt idx="13">
                  <c:v>-0.45714991355890344</c:v>
                </c:pt>
                <c:pt idx="14">
                  <c:v>-0.46619935844124988</c:v>
                </c:pt>
                <c:pt idx="15">
                  <c:v>0.55207166853303469</c:v>
                </c:pt>
                <c:pt idx="16">
                  <c:v>-2.1199388846447668E-2</c:v>
                </c:pt>
                <c:pt idx="17">
                  <c:v>-0.2303335431088735</c:v>
                </c:pt>
                <c:pt idx="18">
                  <c:v>2.6466696074106751E-3</c:v>
                </c:pt>
                <c:pt idx="19">
                  <c:v>0.25705329153605017</c:v>
                </c:pt>
                <c:pt idx="20">
                  <c:v>6.2089116143170198E-2</c:v>
                </c:pt>
                <c:pt idx="21">
                  <c:v>-0.1236381644106966</c:v>
                </c:pt>
                <c:pt idx="22">
                  <c:v>0.1917989417989418</c:v>
                </c:pt>
                <c:pt idx="23">
                  <c:v>-0.26576895818568391</c:v>
                </c:pt>
                <c:pt idx="24">
                  <c:v>-2.2371364653243847E-3</c:v>
                </c:pt>
                <c:pt idx="25">
                  <c:v>0.8298453139217471</c:v>
                </c:pt>
                <c:pt idx="26">
                  <c:v>0.66102826619185395</c:v>
                </c:pt>
                <c:pt idx="27">
                  <c:v>-0.22402597402597402</c:v>
                </c:pt>
                <c:pt idx="28">
                  <c:v>0.3135609756097561</c:v>
                </c:pt>
                <c:pt idx="29">
                  <c:v>1.6680294358135731E-2</c:v>
                </c:pt>
                <c:pt idx="30">
                  <c:v>-8.5789705235371758E-2</c:v>
                </c:pt>
                <c:pt idx="31">
                  <c:v>-8.4347953645298512E-2</c:v>
                </c:pt>
                <c:pt idx="32">
                  <c:v>-0.22025447042640992</c:v>
                </c:pt>
                <c:pt idx="33">
                  <c:v>-0.15031079299303071</c:v>
                </c:pt>
                <c:pt idx="34">
                  <c:v>-2.8671846096929337E-2</c:v>
                </c:pt>
                <c:pt idx="35">
                  <c:v>-0.13481338481338481</c:v>
                </c:pt>
                <c:pt idx="36">
                  <c:v>-0.41278026905829596</c:v>
                </c:pt>
                <c:pt idx="37">
                  <c:v>-0.15116857284932869</c:v>
                </c:pt>
                <c:pt idx="38">
                  <c:v>-0.49175934610746347</c:v>
                </c:pt>
                <c:pt idx="39">
                  <c:v>-0.63319386331938632</c:v>
                </c:pt>
                <c:pt idx="40">
                  <c:v>-0.42498514557338085</c:v>
                </c:pt>
                <c:pt idx="41">
                  <c:v>-0.34775615248512143</c:v>
                </c:pt>
                <c:pt idx="42">
                  <c:v>-8.2451074751363485E-2</c:v>
                </c:pt>
                <c:pt idx="43">
                  <c:v>-0.26497917334187759</c:v>
                </c:pt>
                <c:pt idx="44">
                  <c:v>-0.22183020948180815</c:v>
                </c:pt>
                <c:pt idx="45">
                  <c:v>-0.39414763910441142</c:v>
                </c:pt>
                <c:pt idx="46">
                  <c:v>-0.56636831079794325</c:v>
                </c:pt>
                <c:pt idx="47">
                  <c:v>-0.11342506507995537</c:v>
                </c:pt>
                <c:pt idx="48">
                  <c:v>-0.35266047432091674</c:v>
                </c:pt>
                <c:pt idx="49">
                  <c:v>-6.7964872088583428E-2</c:v>
                </c:pt>
                <c:pt idx="50">
                  <c:v>-0.20123022847100175</c:v>
                </c:pt>
                <c:pt idx="51">
                  <c:v>0.10519377801212761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94-4AB5-A0F7-5E8FF2B0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525167"/>
        <c:axId val="1064521007"/>
      </c:scatterChart>
      <c:valAx>
        <c:axId val="12076544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8770159"/>
        <c:crosses val="autoZero"/>
        <c:crossBetween val="midCat"/>
      </c:valAx>
      <c:valAx>
        <c:axId val="13087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07654463"/>
        <c:crosses val="autoZero"/>
        <c:crossBetween val="midCat"/>
      </c:valAx>
      <c:valAx>
        <c:axId val="1064521007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064525167"/>
        <c:crosses val="max"/>
        <c:crossBetween val="midCat"/>
      </c:valAx>
      <c:valAx>
        <c:axId val="10645251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452100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58136482939633"/>
          <c:y val="5.0925925925925923E-2"/>
          <c:w val="0.76152974628171477"/>
          <c:h val="0.81539297171186931"/>
        </c:manualLayout>
      </c:layout>
      <c:scatterChart>
        <c:scatterStyle val="lineMarker"/>
        <c:varyColors val="0"/>
        <c:ser>
          <c:idx val="0"/>
          <c:order val="0"/>
          <c:tx>
            <c:strRef>
              <c:f>Flug!$AI$9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Flug!$AO$23:$AO$73</c:f>
              <c:numCache>
                <c:formatCode>General</c:formatCode>
                <c:ptCount val="51"/>
                <c:pt idx="0">
                  <c:v>2017.0833333333323</c:v>
                </c:pt>
                <c:pt idx="1">
                  <c:v>2017.1666666666656</c:v>
                </c:pt>
                <c:pt idx="2">
                  <c:v>2017.2499999999989</c:v>
                </c:pt>
                <c:pt idx="3">
                  <c:v>2017.3333333333321</c:v>
                </c:pt>
                <c:pt idx="4">
                  <c:v>2017.4166666666654</c:v>
                </c:pt>
                <c:pt idx="5">
                  <c:v>2017.4999999999986</c:v>
                </c:pt>
                <c:pt idx="6">
                  <c:v>2017.5833333333319</c:v>
                </c:pt>
                <c:pt idx="7">
                  <c:v>2017.6666666666652</c:v>
                </c:pt>
                <c:pt idx="8">
                  <c:v>2017.7499999999984</c:v>
                </c:pt>
                <c:pt idx="9">
                  <c:v>2017.8333333333317</c:v>
                </c:pt>
                <c:pt idx="10">
                  <c:v>2017.9166666666649</c:v>
                </c:pt>
                <c:pt idx="11">
                  <c:v>2017.9999999999982</c:v>
                </c:pt>
                <c:pt idx="12">
                  <c:v>2018.0833333333314</c:v>
                </c:pt>
                <c:pt idx="13">
                  <c:v>2018.1666666666647</c:v>
                </c:pt>
                <c:pt idx="14">
                  <c:v>2018.249999999998</c:v>
                </c:pt>
                <c:pt idx="15">
                  <c:v>2018.3333333333312</c:v>
                </c:pt>
                <c:pt idx="16">
                  <c:v>2018.4166666666645</c:v>
                </c:pt>
                <c:pt idx="17">
                  <c:v>2018.4999999999977</c:v>
                </c:pt>
                <c:pt idx="18">
                  <c:v>2018.583333333331</c:v>
                </c:pt>
                <c:pt idx="19">
                  <c:v>2018.6666666666642</c:v>
                </c:pt>
                <c:pt idx="20">
                  <c:v>2018.7499999999975</c:v>
                </c:pt>
                <c:pt idx="21">
                  <c:v>2018.8333333333308</c:v>
                </c:pt>
                <c:pt idx="22">
                  <c:v>2018.916666666664</c:v>
                </c:pt>
                <c:pt idx="23">
                  <c:v>2018.9999999999973</c:v>
                </c:pt>
                <c:pt idx="24">
                  <c:v>2019.0833333333305</c:v>
                </c:pt>
                <c:pt idx="25">
                  <c:v>2019.1666666666638</c:v>
                </c:pt>
                <c:pt idx="26">
                  <c:v>2019.249999999997</c:v>
                </c:pt>
                <c:pt idx="27">
                  <c:v>2019.3333333333303</c:v>
                </c:pt>
                <c:pt idx="28">
                  <c:v>2019.4166666666636</c:v>
                </c:pt>
                <c:pt idx="29">
                  <c:v>2019.4999999999968</c:v>
                </c:pt>
                <c:pt idx="30">
                  <c:v>2019.5833333333301</c:v>
                </c:pt>
                <c:pt idx="31">
                  <c:v>2019.6666666666633</c:v>
                </c:pt>
                <c:pt idx="32">
                  <c:v>2019.7499999999966</c:v>
                </c:pt>
                <c:pt idx="33">
                  <c:v>2019.8333333333298</c:v>
                </c:pt>
                <c:pt idx="34">
                  <c:v>2019.9166666666631</c:v>
                </c:pt>
                <c:pt idx="35">
                  <c:v>2019.9999999999964</c:v>
                </c:pt>
                <c:pt idx="36">
                  <c:v>2020.0833333333296</c:v>
                </c:pt>
                <c:pt idx="37">
                  <c:v>2020.1666666666629</c:v>
                </c:pt>
                <c:pt idx="38">
                  <c:v>2020.2499999999961</c:v>
                </c:pt>
                <c:pt idx="39">
                  <c:v>2020.3333333333294</c:v>
                </c:pt>
                <c:pt idx="40">
                  <c:v>2020.4166666666626</c:v>
                </c:pt>
                <c:pt idx="41">
                  <c:v>2020.4999999999959</c:v>
                </c:pt>
                <c:pt idx="42">
                  <c:v>2020.5833333333292</c:v>
                </c:pt>
                <c:pt idx="43">
                  <c:v>2020.6666666666624</c:v>
                </c:pt>
                <c:pt idx="44">
                  <c:v>2020.7499999999957</c:v>
                </c:pt>
                <c:pt idx="45">
                  <c:v>2020.8333333333289</c:v>
                </c:pt>
                <c:pt idx="46">
                  <c:v>2020.9166666666622</c:v>
                </c:pt>
                <c:pt idx="47">
                  <c:v>2020.9999999999955</c:v>
                </c:pt>
                <c:pt idx="48">
                  <c:v>2021.0833333333287</c:v>
                </c:pt>
                <c:pt idx="49">
                  <c:v>2021.166666666662</c:v>
                </c:pt>
                <c:pt idx="50">
                  <c:v>2021.2499999999952</c:v>
                </c:pt>
              </c:numCache>
            </c:numRef>
          </c:xVal>
          <c:yVal>
            <c:numRef>
              <c:f>Flug!$AP$23:$AP$73</c:f>
              <c:numCache>
                <c:formatCode>0.0%</c:formatCode>
                <c:ptCount val="51"/>
                <c:pt idx="0">
                  <c:v>-5.219985085756898E-2</c:v>
                </c:pt>
                <c:pt idx="1">
                  <c:v>0.1015451849539566</c:v>
                </c:pt>
                <c:pt idx="2">
                  <c:v>-4.3893485970260687E-2</c:v>
                </c:pt>
                <c:pt idx="3">
                  <c:v>9.0703823643007817E-2</c:v>
                </c:pt>
                <c:pt idx="4">
                  <c:v>6.3871033568003263E-2</c:v>
                </c:pt>
                <c:pt idx="5">
                  <c:v>-4.6558746736292428E-2</c:v>
                </c:pt>
                <c:pt idx="6">
                  <c:v>1.3588634959851761E-2</c:v>
                </c:pt>
                <c:pt idx="7">
                  <c:v>-2.7555813840863964E-2</c:v>
                </c:pt>
                <c:pt idx="8">
                  <c:v>8.1580662361514303E-2</c:v>
                </c:pt>
                <c:pt idx="9">
                  <c:v>5.0229877170109107E-2</c:v>
                </c:pt>
                <c:pt idx="10">
                  <c:v>9.0789105307363116E-2</c:v>
                </c:pt>
                <c:pt idx="11">
                  <c:v>6.0703001579778829E-2</c:v>
                </c:pt>
                <c:pt idx="12">
                  <c:v>-8.9979257563836637E-2</c:v>
                </c:pt>
                <c:pt idx="13">
                  <c:v>-0.21806279755157559</c:v>
                </c:pt>
                <c:pt idx="14">
                  <c:v>-1.8122661460875225E-2</c:v>
                </c:pt>
                <c:pt idx="15">
                  <c:v>-6.3793854870342129E-2</c:v>
                </c:pt>
                <c:pt idx="16">
                  <c:v>-7.8042581758895183E-2</c:v>
                </c:pt>
                <c:pt idx="17">
                  <c:v>-4.927047276869824E-2</c:v>
                </c:pt>
                <c:pt idx="18">
                  <c:v>-3.6899283447855598E-2</c:v>
                </c:pt>
                <c:pt idx="19">
                  <c:v>-8.2470119521912355E-2</c:v>
                </c:pt>
                <c:pt idx="20">
                  <c:v>-4.4944127957931637E-2</c:v>
                </c:pt>
                <c:pt idx="21">
                  <c:v>-0.12113688337144723</c:v>
                </c:pt>
                <c:pt idx="22">
                  <c:v>-0.13111868881311187</c:v>
                </c:pt>
                <c:pt idx="23">
                  <c:v>-0.12153256134341141</c:v>
                </c:pt>
                <c:pt idx="24">
                  <c:v>-3.0574550027509237E-2</c:v>
                </c:pt>
                <c:pt idx="25">
                  <c:v>0.20291378248106404</c:v>
                </c:pt>
                <c:pt idx="26">
                  <c:v>-0.13440254490025846</c:v>
                </c:pt>
                <c:pt idx="27">
                  <c:v>-9.7556008146639506E-2</c:v>
                </c:pt>
                <c:pt idx="28">
                  <c:v>-0.13777858684627989</c:v>
                </c:pt>
                <c:pt idx="29">
                  <c:v>-0.14761389036108485</c:v>
                </c:pt>
                <c:pt idx="30">
                  <c:v>-0.15543385770078327</c:v>
                </c:pt>
                <c:pt idx="31">
                  <c:v>-0.13365718627876683</c:v>
                </c:pt>
                <c:pt idx="32">
                  <c:v>-0.15456969975050902</c:v>
                </c:pt>
                <c:pt idx="33">
                  <c:v>-4.1335216712512078E-2</c:v>
                </c:pt>
                <c:pt idx="34">
                  <c:v>-8.0600919947672697E-2</c:v>
                </c:pt>
                <c:pt idx="35">
                  <c:v>-0.13431950154706904</c:v>
                </c:pt>
                <c:pt idx="36">
                  <c:v>-0.10738608723852765</c:v>
                </c:pt>
                <c:pt idx="37">
                  <c:v>-0.58902747650036158</c:v>
                </c:pt>
                <c:pt idx="38">
                  <c:v>-0.88588163234055584</c:v>
                </c:pt>
                <c:pt idx="39">
                  <c:v>-0.75645613695715253</c:v>
                </c:pt>
                <c:pt idx="40">
                  <c:v>-0.50502186698838791</c:v>
                </c:pt>
                <c:pt idx="41">
                  <c:v>-0.44959584763861482</c:v>
                </c:pt>
                <c:pt idx="42">
                  <c:v>-0.56351236146632566</c:v>
                </c:pt>
                <c:pt idx="43">
                  <c:v>-0.51708799298311559</c:v>
                </c:pt>
                <c:pt idx="44">
                  <c:v>-0.70960957905091415</c:v>
                </c:pt>
                <c:pt idx="45">
                  <c:v>-0.70383869716944547</c:v>
                </c:pt>
                <c:pt idx="46">
                  <c:v>-0.43484646807729382</c:v>
                </c:pt>
                <c:pt idx="47">
                  <c:v>-0.53927862008596406</c:v>
                </c:pt>
                <c:pt idx="48">
                  <c:v>-0.32486290638464549</c:v>
                </c:pt>
                <c:pt idx="49">
                  <c:v>-0.24728643444298107</c:v>
                </c:pt>
                <c:pt idx="50">
                  <c:v>0.50326222417711308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03-4FF1-944A-8E1E6A84D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654463"/>
        <c:axId val="1308770159"/>
      </c:scatterChart>
      <c:valAx>
        <c:axId val="1207654463"/>
        <c:scaling>
          <c:orientation val="minMax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8770159"/>
        <c:crosses val="autoZero"/>
        <c:crossBetween val="midCat"/>
        <c:majorUnit val="1"/>
      </c:valAx>
      <c:valAx>
        <c:axId val="13087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Breyting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07654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Flug!$AQ$9</c:f>
              <c:strCache>
                <c:ptCount val="1"/>
                <c:pt idx="0">
                  <c:v>Hreyfingar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Flug!$AO$22:$AO$73</c:f>
              <c:numCache>
                <c:formatCode>General</c:formatCode>
                <c:ptCount val="52"/>
                <c:pt idx="0">
                  <c:v>2016.9999999999991</c:v>
                </c:pt>
                <c:pt idx="1">
                  <c:v>2017.0833333333323</c:v>
                </c:pt>
                <c:pt idx="2">
                  <c:v>2017.1666666666656</c:v>
                </c:pt>
                <c:pt idx="3">
                  <c:v>2017.2499999999989</c:v>
                </c:pt>
                <c:pt idx="4">
                  <c:v>2017.3333333333321</c:v>
                </c:pt>
                <c:pt idx="5">
                  <c:v>2017.4166666666654</c:v>
                </c:pt>
                <c:pt idx="6">
                  <c:v>2017.4999999999986</c:v>
                </c:pt>
                <c:pt idx="7">
                  <c:v>2017.5833333333319</c:v>
                </c:pt>
                <c:pt idx="8">
                  <c:v>2017.6666666666652</c:v>
                </c:pt>
                <c:pt idx="9">
                  <c:v>2017.7499999999984</c:v>
                </c:pt>
                <c:pt idx="10">
                  <c:v>2017.8333333333317</c:v>
                </c:pt>
                <c:pt idx="11">
                  <c:v>2017.9166666666649</c:v>
                </c:pt>
                <c:pt idx="12">
                  <c:v>2017.9999999999982</c:v>
                </c:pt>
                <c:pt idx="13">
                  <c:v>2018.0833333333314</c:v>
                </c:pt>
                <c:pt idx="14">
                  <c:v>2018.1666666666647</c:v>
                </c:pt>
                <c:pt idx="15">
                  <c:v>2018.249999999998</c:v>
                </c:pt>
                <c:pt idx="16">
                  <c:v>2018.3333333333312</c:v>
                </c:pt>
                <c:pt idx="17">
                  <c:v>2018.4166666666645</c:v>
                </c:pt>
                <c:pt idx="18">
                  <c:v>2018.4999999999977</c:v>
                </c:pt>
                <c:pt idx="19">
                  <c:v>2018.583333333331</c:v>
                </c:pt>
                <c:pt idx="20">
                  <c:v>2018.6666666666642</c:v>
                </c:pt>
                <c:pt idx="21">
                  <c:v>2018.7499999999975</c:v>
                </c:pt>
                <c:pt idx="22">
                  <c:v>2018.8333333333308</c:v>
                </c:pt>
                <c:pt idx="23">
                  <c:v>2018.916666666664</c:v>
                </c:pt>
                <c:pt idx="24">
                  <c:v>2018.9999999999973</c:v>
                </c:pt>
                <c:pt idx="25">
                  <c:v>2019.0833333333305</c:v>
                </c:pt>
                <c:pt idx="26">
                  <c:v>2019.1666666666638</c:v>
                </c:pt>
                <c:pt idx="27">
                  <c:v>2019.249999999997</c:v>
                </c:pt>
                <c:pt idx="28">
                  <c:v>2019.3333333333303</c:v>
                </c:pt>
                <c:pt idx="29">
                  <c:v>2019.4166666666636</c:v>
                </c:pt>
                <c:pt idx="30">
                  <c:v>2019.4999999999968</c:v>
                </c:pt>
                <c:pt idx="31">
                  <c:v>2019.5833333333301</c:v>
                </c:pt>
                <c:pt idx="32">
                  <c:v>2019.6666666666633</c:v>
                </c:pt>
                <c:pt idx="33">
                  <c:v>2019.7499999999966</c:v>
                </c:pt>
                <c:pt idx="34">
                  <c:v>2019.8333333333298</c:v>
                </c:pt>
                <c:pt idx="35">
                  <c:v>2019.9166666666631</c:v>
                </c:pt>
                <c:pt idx="36">
                  <c:v>2019.9999999999964</c:v>
                </c:pt>
                <c:pt idx="37">
                  <c:v>2020.0833333333296</c:v>
                </c:pt>
                <c:pt idx="38">
                  <c:v>2020.1666666666629</c:v>
                </c:pt>
                <c:pt idx="39">
                  <c:v>2020.2499999999961</c:v>
                </c:pt>
                <c:pt idx="40">
                  <c:v>2020.3333333333294</c:v>
                </c:pt>
                <c:pt idx="41">
                  <c:v>2020.4166666666626</c:v>
                </c:pt>
                <c:pt idx="42">
                  <c:v>2020.4999999999959</c:v>
                </c:pt>
                <c:pt idx="43">
                  <c:v>2020.5833333333292</c:v>
                </c:pt>
                <c:pt idx="44">
                  <c:v>2020.6666666666624</c:v>
                </c:pt>
                <c:pt idx="45">
                  <c:v>2020.7499999999957</c:v>
                </c:pt>
                <c:pt idx="46">
                  <c:v>2020.8333333333289</c:v>
                </c:pt>
                <c:pt idx="47">
                  <c:v>2020.9166666666622</c:v>
                </c:pt>
                <c:pt idx="48">
                  <c:v>2020.9999999999955</c:v>
                </c:pt>
                <c:pt idx="49">
                  <c:v>2021.0833333333287</c:v>
                </c:pt>
                <c:pt idx="50">
                  <c:v>2021.166666666662</c:v>
                </c:pt>
                <c:pt idx="51">
                  <c:v>2021.2499999999952</c:v>
                </c:pt>
              </c:numCache>
            </c:numRef>
          </c:xVal>
          <c:yVal>
            <c:numRef>
              <c:f>Flug!$AQ$22:$AQ$73</c:f>
              <c:numCache>
                <c:formatCode>0.0%</c:formatCode>
                <c:ptCount val="52"/>
                <c:pt idx="0">
                  <c:v>-0.45719082260772242</c:v>
                </c:pt>
                <c:pt idx="1">
                  <c:v>-0.39149383829275625</c:v>
                </c:pt>
                <c:pt idx="2">
                  <c:v>1.0741744701823559</c:v>
                </c:pt>
                <c:pt idx="3">
                  <c:v>-0.41833577593225857</c:v>
                </c:pt>
                <c:pt idx="4">
                  <c:v>-0.10846245530393325</c:v>
                </c:pt>
                <c:pt idx="5">
                  <c:v>0.3007531106745252</c:v>
                </c:pt>
                <c:pt idx="6">
                  <c:v>-1.1626217119604709E-2</c:v>
                </c:pt>
                <c:pt idx="7">
                  <c:v>-0.26066802999318339</c:v>
                </c:pt>
                <c:pt idx="8">
                  <c:v>-7.7912665337923539E-3</c:v>
                </c:pt>
                <c:pt idx="9">
                  <c:v>0.55373172608361121</c:v>
                </c:pt>
                <c:pt idx="10">
                  <c:v>0.11669128508124077</c:v>
                </c:pt>
                <c:pt idx="11">
                  <c:v>1.2992938620315047</c:v>
                </c:pt>
                <c:pt idx="12">
                  <c:v>0.53608247422680411</c:v>
                </c:pt>
                <c:pt idx="13">
                  <c:v>-0.45714991355890344</c:v>
                </c:pt>
                <c:pt idx="14">
                  <c:v>-0.46619935844124988</c:v>
                </c:pt>
                <c:pt idx="15">
                  <c:v>0.55207166853303469</c:v>
                </c:pt>
                <c:pt idx="16">
                  <c:v>-2.1199388846447668E-2</c:v>
                </c:pt>
                <c:pt idx="17">
                  <c:v>-0.2303335431088735</c:v>
                </c:pt>
                <c:pt idx="18">
                  <c:v>2.6466696074106751E-3</c:v>
                </c:pt>
                <c:pt idx="19">
                  <c:v>0.25705329153605017</c:v>
                </c:pt>
                <c:pt idx="20">
                  <c:v>6.2089116143170198E-2</c:v>
                </c:pt>
                <c:pt idx="21">
                  <c:v>-0.1236381644106966</c:v>
                </c:pt>
                <c:pt idx="22">
                  <c:v>0.1917989417989418</c:v>
                </c:pt>
                <c:pt idx="23">
                  <c:v>-0.26576895818568391</c:v>
                </c:pt>
                <c:pt idx="24">
                  <c:v>-2.2371364653243847E-3</c:v>
                </c:pt>
                <c:pt idx="25">
                  <c:v>0.8298453139217471</c:v>
                </c:pt>
                <c:pt idx="26">
                  <c:v>0.66102826619185395</c:v>
                </c:pt>
                <c:pt idx="27">
                  <c:v>-0.22402597402597402</c:v>
                </c:pt>
                <c:pt idx="28">
                  <c:v>0.3135609756097561</c:v>
                </c:pt>
                <c:pt idx="29">
                  <c:v>1.6680294358135731E-2</c:v>
                </c:pt>
                <c:pt idx="30">
                  <c:v>-8.5789705235371758E-2</c:v>
                </c:pt>
                <c:pt idx="31">
                  <c:v>-8.4347953645298512E-2</c:v>
                </c:pt>
                <c:pt idx="32">
                  <c:v>-0.22025447042640992</c:v>
                </c:pt>
                <c:pt idx="33">
                  <c:v>-0.15031079299303071</c:v>
                </c:pt>
                <c:pt idx="34">
                  <c:v>-2.8671846096929337E-2</c:v>
                </c:pt>
                <c:pt idx="35">
                  <c:v>-0.13481338481338481</c:v>
                </c:pt>
                <c:pt idx="36">
                  <c:v>-0.41278026905829596</c:v>
                </c:pt>
                <c:pt idx="37">
                  <c:v>-0.15116857284932869</c:v>
                </c:pt>
                <c:pt idx="38">
                  <c:v>-0.49175934610746347</c:v>
                </c:pt>
                <c:pt idx="39">
                  <c:v>-0.63319386331938632</c:v>
                </c:pt>
                <c:pt idx="40">
                  <c:v>-0.42498514557338085</c:v>
                </c:pt>
                <c:pt idx="41">
                  <c:v>-0.34775615248512143</c:v>
                </c:pt>
                <c:pt idx="42">
                  <c:v>-8.2451074751363485E-2</c:v>
                </c:pt>
                <c:pt idx="43">
                  <c:v>-0.26497917334187759</c:v>
                </c:pt>
                <c:pt idx="44">
                  <c:v>-0.22183020948180815</c:v>
                </c:pt>
                <c:pt idx="45">
                  <c:v>-0.39414763910441142</c:v>
                </c:pt>
                <c:pt idx="46">
                  <c:v>-0.56636831079794325</c:v>
                </c:pt>
                <c:pt idx="47">
                  <c:v>-0.11342506507995537</c:v>
                </c:pt>
                <c:pt idx="48">
                  <c:v>-0.35266047432091674</c:v>
                </c:pt>
                <c:pt idx="49">
                  <c:v>-6.7964872088583428E-2</c:v>
                </c:pt>
                <c:pt idx="50">
                  <c:v>-0.20123022847100175</c:v>
                </c:pt>
                <c:pt idx="51">
                  <c:v>0.10519377801212761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40-4C4A-BDC6-697C15415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7654463"/>
        <c:axId val="1308770159"/>
      </c:scatterChart>
      <c:valAx>
        <c:axId val="1207654463"/>
        <c:scaling>
          <c:orientation val="minMax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308770159"/>
        <c:crosses val="autoZero"/>
        <c:crossBetween val="midCat"/>
        <c:majorUnit val="1"/>
      </c:valAx>
      <c:valAx>
        <c:axId val="1308770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07654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Mælaborð!$C$10:$E$10</c:f>
              <c:strCache>
                <c:ptCount val="3"/>
                <c:pt idx="0">
                  <c:v>Umfang 1</c:v>
                </c:pt>
                <c:pt idx="1">
                  <c:v>Umfang 2</c:v>
                </c:pt>
                <c:pt idx="2">
                  <c:v>Umfang 3</c:v>
                </c:pt>
              </c:strCache>
            </c:strRef>
          </c:cat>
          <c:val>
            <c:numRef>
              <c:f>Mælaborð!$C$33:$E$33</c:f>
              <c:numCache>
                <c:formatCode>0</c:formatCode>
                <c:ptCount val="3"/>
                <c:pt idx="0">
                  <c:v>498861.60035303078</c:v>
                </c:pt>
                <c:pt idx="1">
                  <c:v>25058.469960599999</c:v>
                </c:pt>
                <c:pt idx="2">
                  <c:v>10670.826879630527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2-41A2-A5BD-5FF2A07A2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119551"/>
        <c:axId val="946072575"/>
      </c:barChart>
      <c:catAx>
        <c:axId val="1805119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946072575"/>
        <c:crosses val="autoZero"/>
        <c:auto val="1"/>
        <c:lblAlgn val="ctr"/>
        <c:lblOffset val="100"/>
        <c:noMultiLvlLbl val="0"/>
      </c:catAx>
      <c:valAx>
        <c:axId val="94607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9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rgbClr val="000000">
                        <a:lumMod val="65000"/>
                        <a:lumOff val="35000"/>
                      </a:srgbClr>
                    </a:solidFill>
                  </a:defRPr>
                </a:pPr>
                <a:endParaRPr lang="is-IS" sz="9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rgbClr val="000000">
                      <a:lumMod val="65000"/>
                      <a:lumOff val="35000"/>
                    </a:srgb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05119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Flug!$AE$6</c:f>
              <c:strCache>
                <c:ptCount val="1"/>
                <c:pt idx="0">
                  <c:v>Farþegar</c:v>
                </c:pt>
              </c:strCache>
            </c:strRef>
          </c:tx>
          <c:xVal>
            <c:numRef>
              <c:f>Flug!$U$7:$U$12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xVal>
          <c:yVal>
            <c:numRef>
              <c:f>Flug!$AE$7:$AE$12</c:f>
              <c:numCache>
                <c:formatCode>#,##0</c:formatCode>
                <c:ptCount val="6"/>
                <c:pt idx="0">
                  <c:v>154074</c:v>
                </c:pt>
                <c:pt idx="1">
                  <c:v>156017</c:v>
                </c:pt>
                <c:pt idx="2">
                  <c:v>144444</c:v>
                </c:pt>
                <c:pt idx="3">
                  <c:v>138592</c:v>
                </c:pt>
                <c:pt idx="4">
                  <c:v>66619</c:v>
                </c:pt>
                <c:pt idx="5">
                  <c:v>92358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D7-4ED5-BC04-C6CBEE25C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Flug!$AB$6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Flug!$U$7:$U$12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xVal>
          <c:yVal>
            <c:numRef>
              <c:f>Flug!$AB$7:$AB$12</c:f>
              <c:numCache>
                <c:formatCode>#,##0</c:formatCode>
                <c:ptCount val="6"/>
                <c:pt idx="0">
                  <c:v>28087</c:v>
                </c:pt>
                <c:pt idx="1">
                  <c:v>24184</c:v>
                </c:pt>
                <c:pt idx="2">
                  <c:v>21830</c:v>
                </c:pt>
                <c:pt idx="3">
                  <c:v>26979</c:v>
                </c:pt>
                <c:pt idx="4">
                  <c:v>15275</c:v>
                </c:pt>
                <c:pt idx="5">
                  <c:v>22090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D7-4ED5-BC04-C6CBEE25C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1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379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layout>
            <c:manualLayout>
              <c:xMode val="edge"/>
              <c:yMode val="edge"/>
              <c:x val="0.93371911937238805"/>
              <c:y val="0.251170406613934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  <c:dispUnits>
          <c:custUnit val="1000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</c:dispUnitsLbl>
        </c:dispUnits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Flug!$AE$6</c:f>
              <c:strCache>
                <c:ptCount val="1"/>
                <c:pt idx="0">
                  <c:v>Farþegar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Flug!$U$16:$U$20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xVal>
          <c:yVal>
            <c:numRef>
              <c:f>Flug!$AE$16:$AE$20</c:f>
              <c:numCache>
                <c:formatCode>0.0%</c:formatCode>
                <c:ptCount val="5"/>
                <c:pt idx="0">
                  <c:v>1.2610823370588159E-2</c:v>
                </c:pt>
                <c:pt idx="1">
                  <c:v>-7.4177813956171443E-2</c:v>
                </c:pt>
                <c:pt idx="2">
                  <c:v>-4.0513970812217887E-2</c:v>
                </c:pt>
                <c:pt idx="3">
                  <c:v>-0.51931568921727089</c:v>
                </c:pt>
                <c:pt idx="4">
                  <c:v>0.38636124829252916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48-4E89-B406-416A3ED3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554703"/>
        <c:axId val="2085043807"/>
      </c:scatterChart>
      <c:scatterChart>
        <c:scatterStyle val="lineMarker"/>
        <c:varyColors val="0"/>
        <c:ser>
          <c:idx val="1"/>
          <c:order val="1"/>
          <c:tx>
            <c:strRef>
              <c:f>Flug!$AB$6</c:f>
              <c:strCache>
                <c:ptCount val="1"/>
                <c:pt idx="0">
                  <c:v>Hreyfingar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Flug!$U$16:$U$20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xVal>
          <c:yVal>
            <c:numRef>
              <c:f>Flug!$AB$16:$AB$20</c:f>
              <c:numCache>
                <c:formatCode>0.0%</c:formatCode>
                <c:ptCount val="5"/>
                <c:pt idx="0">
                  <c:v>-0.13896108519955852</c:v>
                </c:pt>
                <c:pt idx="1">
                  <c:v>-9.7337082368508104E-2</c:v>
                </c:pt>
                <c:pt idx="2">
                  <c:v>0.2358680714612918</c:v>
                </c:pt>
                <c:pt idx="3">
                  <c:v>-0.43381889617850922</c:v>
                </c:pt>
                <c:pt idx="4">
                  <c:v>0.44615384615384618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48-4E89-B406-416A3ED3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364207"/>
        <c:axId val="1214363791"/>
      </c:scatterChart>
      <c:valAx>
        <c:axId val="1210554703"/>
        <c:scaling>
          <c:orientation val="minMax"/>
          <c:max val="2021"/>
          <c:min val="201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2085043807"/>
        <c:crosses val="autoZero"/>
        <c:crossBetween val="midCat"/>
        <c:majorUnit val="1"/>
      </c:valAx>
      <c:valAx>
        <c:axId val="2085043807"/>
        <c:scaling>
          <c:orientation val="minMax"/>
          <c:max val="0.55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Farþegafjöldi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0554703"/>
        <c:crosses val="autoZero"/>
        <c:crossBetween val="midCat"/>
      </c:valAx>
      <c:valAx>
        <c:axId val="1214363791"/>
        <c:scaling>
          <c:orientation val="minMax"/>
          <c:max val="0.5"/>
          <c:min val="-0.60000000000000009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 sz="1400"/>
                  <a:t>Hreyfingar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214364207"/>
        <c:crosses val="max"/>
        <c:crossBetween val="midCat"/>
      </c:valAx>
      <c:valAx>
        <c:axId val="121436420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436379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Úrgangur!$L$11:$P$11</c:f>
              <c:numCache>
                <c:formatCode>General</c:formatCode>
                <c:ptCount val="5"/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</c:numCache>
            </c:numRef>
          </c:xVal>
          <c:yVal>
            <c:numRef>
              <c:f>Úrgangur!$L$25:$P$25</c:f>
              <c:numCache>
                <c:formatCode>#,##0.000</c:formatCode>
                <c:ptCount val="5"/>
                <c:pt idx="1">
                  <c:v>73573.146873003629</c:v>
                </c:pt>
                <c:pt idx="2">
                  <c:v>107068.79000000001</c:v>
                </c:pt>
                <c:pt idx="3">
                  <c:v>119865.34999999999</c:v>
                </c:pt>
                <c:pt idx="4">
                  <c:v>119197.95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74-49C2-A6F4-8B4ACF5F5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9444944"/>
        <c:axId val="1846947280"/>
      </c:scatterChart>
      <c:valAx>
        <c:axId val="1859444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46947280"/>
        <c:crosses val="autoZero"/>
        <c:crossBetween val="midCat"/>
      </c:valAx>
      <c:valAx>
        <c:axId val="184694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59444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Úrgangur!$R$11:$R$55</c:f>
              <c:numCache>
                <c:formatCode>General</c:formatCode>
                <c:ptCount val="45"/>
                <c:pt idx="0">
                  <c:v>2017</c:v>
                </c:pt>
                <c:pt idx="1">
                  <c:v>2017.0833333333333</c:v>
                </c:pt>
                <c:pt idx="2">
                  <c:v>2017.1666666666665</c:v>
                </c:pt>
                <c:pt idx="3">
                  <c:v>2017.2499999999998</c:v>
                </c:pt>
                <c:pt idx="4">
                  <c:v>2017.333333333333</c:v>
                </c:pt>
                <c:pt idx="5">
                  <c:v>2017.4166666666663</c:v>
                </c:pt>
                <c:pt idx="6">
                  <c:v>2017.4999999999995</c:v>
                </c:pt>
                <c:pt idx="7">
                  <c:v>2017.5833333333328</c:v>
                </c:pt>
                <c:pt idx="8">
                  <c:v>2017.6666666666661</c:v>
                </c:pt>
                <c:pt idx="9">
                  <c:v>2017.7499999999993</c:v>
                </c:pt>
                <c:pt idx="10">
                  <c:v>2017.8333333333326</c:v>
                </c:pt>
                <c:pt idx="11">
                  <c:v>2017.9166666666658</c:v>
                </c:pt>
                <c:pt idx="12">
                  <c:v>2017.9999999999991</c:v>
                </c:pt>
                <c:pt idx="13">
                  <c:v>2018.0833333333323</c:v>
                </c:pt>
                <c:pt idx="14">
                  <c:v>2018.1666666666656</c:v>
                </c:pt>
                <c:pt idx="15">
                  <c:v>2018.2499999999989</c:v>
                </c:pt>
                <c:pt idx="16">
                  <c:v>2018.3333333333321</c:v>
                </c:pt>
                <c:pt idx="17">
                  <c:v>2018.4166666666654</c:v>
                </c:pt>
                <c:pt idx="18">
                  <c:v>2018.4999999999986</c:v>
                </c:pt>
                <c:pt idx="19">
                  <c:v>2018.5833333333319</c:v>
                </c:pt>
                <c:pt idx="20">
                  <c:v>2018.6666666666652</c:v>
                </c:pt>
                <c:pt idx="21">
                  <c:v>2018.7499999999984</c:v>
                </c:pt>
                <c:pt idx="22">
                  <c:v>2018.8333333333317</c:v>
                </c:pt>
                <c:pt idx="23">
                  <c:v>2018.9166666666649</c:v>
                </c:pt>
                <c:pt idx="24">
                  <c:v>2018.9999999999982</c:v>
                </c:pt>
                <c:pt idx="25">
                  <c:v>2019.0833333333314</c:v>
                </c:pt>
                <c:pt idx="26">
                  <c:v>2019.1666666666647</c:v>
                </c:pt>
                <c:pt idx="27">
                  <c:v>2019.249999999998</c:v>
                </c:pt>
                <c:pt idx="28">
                  <c:v>2019.3333333333312</c:v>
                </c:pt>
                <c:pt idx="29">
                  <c:v>2019.4166666666645</c:v>
                </c:pt>
                <c:pt idx="30">
                  <c:v>2019.4999999999977</c:v>
                </c:pt>
                <c:pt idx="31">
                  <c:v>2019.583333333331</c:v>
                </c:pt>
                <c:pt idx="32">
                  <c:v>2019.6666666666642</c:v>
                </c:pt>
                <c:pt idx="33">
                  <c:v>2019.7499999999975</c:v>
                </c:pt>
                <c:pt idx="34">
                  <c:v>2019.8333333333308</c:v>
                </c:pt>
                <c:pt idx="35">
                  <c:v>2019.916666666664</c:v>
                </c:pt>
                <c:pt idx="36">
                  <c:v>2019.9999999999973</c:v>
                </c:pt>
                <c:pt idx="37">
                  <c:v>2020.0833333333305</c:v>
                </c:pt>
                <c:pt idx="38">
                  <c:v>2020.1666666666638</c:v>
                </c:pt>
                <c:pt idx="39">
                  <c:v>2020.249999999997</c:v>
                </c:pt>
                <c:pt idx="40">
                  <c:v>2020.3333333333303</c:v>
                </c:pt>
                <c:pt idx="41">
                  <c:v>2020.4166666666636</c:v>
                </c:pt>
                <c:pt idx="42">
                  <c:v>2020.4999999999968</c:v>
                </c:pt>
                <c:pt idx="43">
                  <c:v>2020.5833333333301</c:v>
                </c:pt>
                <c:pt idx="44">
                  <c:v>2020.6666666666633</c:v>
                </c:pt>
              </c:numCache>
            </c:numRef>
          </c:xVal>
          <c:yVal>
            <c:numRef>
              <c:f>Úrgangur!$S$11:$S$55</c:f>
              <c:numCache>
                <c:formatCode>#,##0</c:formatCode>
                <c:ptCount val="45"/>
                <c:pt idx="0">
                  <c:v>9458.02</c:v>
                </c:pt>
                <c:pt idx="1">
                  <c:v>8619.6</c:v>
                </c:pt>
                <c:pt idx="2">
                  <c:v>9934</c:v>
                </c:pt>
                <c:pt idx="3">
                  <c:v>8256.6</c:v>
                </c:pt>
                <c:pt idx="4">
                  <c:v>10593.52</c:v>
                </c:pt>
                <c:pt idx="5">
                  <c:v>10734.64</c:v>
                </c:pt>
                <c:pt idx="6">
                  <c:v>10589.06</c:v>
                </c:pt>
                <c:pt idx="7">
                  <c:v>11116.02</c:v>
                </c:pt>
                <c:pt idx="8">
                  <c:v>10037.959999999999</c:v>
                </c:pt>
                <c:pt idx="9">
                  <c:v>10419.18</c:v>
                </c:pt>
                <c:pt idx="10">
                  <c:v>10267.51</c:v>
                </c:pt>
                <c:pt idx="11">
                  <c:v>9171.84</c:v>
                </c:pt>
                <c:pt idx="12">
                  <c:v>10796.84</c:v>
                </c:pt>
                <c:pt idx="13">
                  <c:v>9341.42</c:v>
                </c:pt>
                <c:pt idx="14">
                  <c:v>9466.7000000000007</c:v>
                </c:pt>
                <c:pt idx="15">
                  <c:v>9656.73</c:v>
                </c:pt>
                <c:pt idx="16">
                  <c:v>10785.22</c:v>
                </c:pt>
                <c:pt idx="17">
                  <c:v>10218.74</c:v>
                </c:pt>
                <c:pt idx="18">
                  <c:v>10590.94</c:v>
                </c:pt>
                <c:pt idx="19">
                  <c:v>10329.120000000001</c:v>
                </c:pt>
                <c:pt idx="20">
                  <c:v>9486.02</c:v>
                </c:pt>
                <c:pt idx="21">
                  <c:v>10851.76</c:v>
                </c:pt>
                <c:pt idx="22">
                  <c:v>9454.1200000000008</c:v>
                </c:pt>
                <c:pt idx="23">
                  <c:v>8887.74</c:v>
                </c:pt>
                <c:pt idx="24">
                  <c:v>10359.98</c:v>
                </c:pt>
                <c:pt idx="25">
                  <c:v>8657.68</c:v>
                </c:pt>
                <c:pt idx="26">
                  <c:v>8700.56</c:v>
                </c:pt>
                <c:pt idx="27">
                  <c:v>8838.84</c:v>
                </c:pt>
                <c:pt idx="28">
                  <c:v>10672.39</c:v>
                </c:pt>
                <c:pt idx="29">
                  <c:v>8821.0400000000009</c:v>
                </c:pt>
                <c:pt idx="30">
                  <c:v>9611.26</c:v>
                </c:pt>
                <c:pt idx="31">
                  <c:v>8938.94</c:v>
                </c:pt>
                <c:pt idx="32">
                  <c:v>9020.64</c:v>
                </c:pt>
                <c:pt idx="33">
                  <c:v>8615.68</c:v>
                </c:pt>
                <c:pt idx="34">
                  <c:v>7421.58</c:v>
                </c:pt>
                <c:pt idx="35">
                  <c:v>7410.2</c:v>
                </c:pt>
                <c:pt idx="36">
                  <c:v>8379.56</c:v>
                </c:pt>
                <c:pt idx="37">
                  <c:v>6154.64</c:v>
                </c:pt>
                <c:pt idx="38">
                  <c:v>7204.3</c:v>
                </c:pt>
                <c:pt idx="39">
                  <c:v>7158.26</c:v>
                </c:pt>
                <c:pt idx="40">
                  <c:v>6950.12</c:v>
                </c:pt>
                <c:pt idx="41">
                  <c:v>7245.1</c:v>
                </c:pt>
                <c:pt idx="42">
                  <c:v>7600.9</c:v>
                </c:pt>
                <c:pt idx="43">
                  <c:v>6408.64</c:v>
                </c:pt>
                <c:pt idx="44">
                  <c:v>7314.64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69-493B-AB4F-5A9A1E662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0717600"/>
        <c:axId val="1846400352"/>
      </c:scatterChart>
      <c:valAx>
        <c:axId val="1850717600"/>
        <c:scaling>
          <c:orientation val="minMax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46400352"/>
        <c:crosses val="autoZero"/>
        <c:crossBetween val="midCat"/>
      </c:valAx>
      <c:valAx>
        <c:axId val="184640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Magn</a:t>
                </a:r>
                <a:r>
                  <a:rPr lang="is-IS" baseline="0"/>
                  <a:t> (tonn)</a:t>
                </a:r>
                <a:endParaRPr lang="is-I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507176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Úrgangur!$K$64</c:f>
              <c:strCache>
                <c:ptCount val="1"/>
                <c:pt idx="0">
                  <c:v>2017-18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>
                <a:noFill/>
              </a:ln>
            </c:spPr>
          </c:marker>
          <c:yVal>
            <c:numRef>
              <c:f>Úrgangur!$H$23:$H$34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29-4EA3-BBD5-007A7648BD7E}"/>
            </c:ext>
          </c:extLst>
        </c:ser>
        <c:ser>
          <c:idx val="0"/>
          <c:order val="1"/>
          <c:tx>
            <c:strRef>
              <c:f>Úrgangur!$K$65</c:f>
              <c:strCache>
                <c:ptCount val="1"/>
                <c:pt idx="0">
                  <c:v>2018-19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Úrgangur!$H$36:$H$47</c:f>
              <c:numCache>
                <c:formatCode>0.0%</c:formatCode>
                <c:ptCount val="12"/>
                <c:pt idx="0">
                  <c:v>0.14155394046534048</c:v>
                </c:pt>
                <c:pt idx="1">
                  <c:v>8.3741704951505833E-2</c:v>
                </c:pt>
                <c:pt idx="2">
                  <c:v>-4.7040467082746049E-2</c:v>
                </c:pt>
                <c:pt idx="3">
                  <c:v>0.16957706562023098</c:v>
                </c:pt>
                <c:pt idx="4">
                  <c:v>1.8095968101254249E-2</c:v>
                </c:pt>
                <c:pt idx="5">
                  <c:v>-4.805936668579474E-2</c:v>
                </c:pt>
                <c:pt idx="6">
                  <c:v>1.7754172702780216E-4</c:v>
                </c:pt>
                <c:pt idx="7">
                  <c:v>-7.0789725099451029E-2</c:v>
                </c:pt>
                <c:pt idx="8">
                  <c:v>-5.4985275892711141E-2</c:v>
                </c:pt>
                <c:pt idx="9">
                  <c:v>4.1517662618363434E-2</c:v>
                </c:pt>
                <c:pt idx="10">
                  <c:v>-7.9219791361293965E-2</c:v>
                </c:pt>
                <c:pt idx="11">
                  <c:v>-3.0975245970274269E-2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29-4EA3-BBD5-007A7648BD7E}"/>
            </c:ext>
          </c:extLst>
        </c:ser>
        <c:ser>
          <c:idx val="2"/>
          <c:order val="2"/>
          <c:tx>
            <c:strRef>
              <c:f>Úrgangur!$K$66</c:f>
              <c:strCache>
                <c:ptCount val="1"/>
                <c:pt idx="0">
                  <c:v>2019-20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>
                <a:noFill/>
              </a:ln>
            </c:spPr>
          </c:marker>
          <c:yVal>
            <c:numRef>
              <c:f>Úrgangur!$H$49:$H$60</c:f>
              <c:numCache>
                <c:formatCode>0.0%</c:formatCode>
                <c:ptCount val="12"/>
                <c:pt idx="0">
                  <c:v>-4.046183883432565E-2</c:v>
                </c:pt>
                <c:pt idx="1">
                  <c:v>-7.3194439389300536E-2</c:v>
                </c:pt>
                <c:pt idx="2">
                  <c:v>-8.0929996725363773E-2</c:v>
                </c:pt>
                <c:pt idx="3">
                  <c:v>-8.4696372374499382E-2</c:v>
                </c:pt>
                <c:pt idx="4">
                  <c:v>-1.0461539032119877E-2</c:v>
                </c:pt>
                <c:pt idx="5">
                  <c:v>-0.13677811550151966</c:v>
                </c:pt>
                <c:pt idx="6">
                  <c:v>-9.2501704286871628E-2</c:v>
                </c:pt>
                <c:pt idx="7">
                  <c:v>-0.13458842573229859</c:v>
                </c:pt>
                <c:pt idx="8">
                  <c:v>-4.9059563441780744E-2</c:v>
                </c:pt>
                <c:pt idx="9">
                  <c:v>-0.20605689768295649</c:v>
                </c:pt>
                <c:pt idx="10">
                  <c:v>-0.21498986685170071</c:v>
                </c:pt>
                <c:pt idx="11">
                  <c:v>-0.16624473713227433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29-4EA3-BBD5-007A7648B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5632112"/>
        <c:axId val="1844889088"/>
      </c:scatterChart>
      <c:valAx>
        <c:axId val="1855632112"/>
        <c:scaling>
          <c:orientation val="minMax"/>
          <c:max val="8"/>
          <c:min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Mánuður</a:t>
                </a:r>
              </a:p>
            </c:rich>
          </c:tx>
          <c:overlay val="0"/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44889088"/>
        <c:crosses val="autoZero"/>
        <c:crossBetween val="midCat"/>
      </c:valAx>
      <c:valAx>
        <c:axId val="184488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is-IS"/>
                  <a:t>Breyting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556321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/>
  </c:chart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Mælaborð!$B$84</c:f>
          <c:strCache>
            <c:ptCount val="1"/>
            <c:pt idx="0">
              <c:v>BASIC+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Losun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Reykjavík!$M$109:$Q$109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Reykjavík!$M$110:$Q$110</c:f>
              <c:numCache>
                <c:formatCode>#,##0</c:formatCode>
                <c:ptCount val="5"/>
                <c:pt idx="0">
                  <c:v>531769.55161187658</c:v>
                </c:pt>
                <c:pt idx="1">
                  <c:v>547189.39567905222</c:v>
                </c:pt>
                <c:pt idx="2">
                  <c:v>569836.79643159604</c:v>
                </c:pt>
                <c:pt idx="3">
                  <c:v>581931.92008415901</c:v>
                </c:pt>
                <c:pt idx="4">
                  <c:v>519540.32962191396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A-442F-BB73-FE00D41D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45015567"/>
        <c:axId val="1764603839"/>
      </c:barChart>
      <c:lineChart>
        <c:grouping val="standard"/>
        <c:varyColors val="0"/>
        <c:ser>
          <c:idx val="1"/>
          <c:order val="1"/>
          <c:tx>
            <c:v>Losun á íbúa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Reykjavík!$M$109:$Q$109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Reykjavík!$M$111:$Q$111</c:f>
              <c:numCache>
                <c:formatCode>#,##0.00</c:formatCode>
                <c:ptCount val="5"/>
                <c:pt idx="0">
                  <c:v>4.3573381810216043</c:v>
                </c:pt>
                <c:pt idx="1">
                  <c:v>4.4577547509495092</c:v>
                </c:pt>
                <c:pt idx="2">
                  <c:v>4.5428489144392046</c:v>
                </c:pt>
                <c:pt idx="3">
                  <c:v>4.5478709260467109</c:v>
                </c:pt>
                <c:pt idx="4">
                  <c:v>3.9871097012540884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A-442F-BB73-FE00D41D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127151"/>
        <c:axId val="946072991"/>
      </c:lineChart>
      <c:catAx>
        <c:axId val="945015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764603839"/>
        <c:crosses val="autoZero"/>
        <c:auto val="1"/>
        <c:lblAlgn val="ctr"/>
        <c:lblOffset val="100"/>
        <c:noMultiLvlLbl val="0"/>
      </c:catAx>
      <c:valAx>
        <c:axId val="176460383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945015567"/>
        <c:crosses val="autoZero"/>
        <c:crossBetween val="between"/>
      </c:valAx>
      <c:valAx>
        <c:axId val="946072991"/>
        <c:scaling>
          <c:orientation val="minMax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 b="0" i="0" baseline="0">
                    <a:effectLst/>
                  </a:rPr>
                  <a:t>Losun (t CO</a:t>
                </a:r>
                <a:r>
                  <a:rPr lang="en-US" sz="900" b="0" i="0" baseline="-25000">
                    <a:effectLst/>
                  </a:rPr>
                  <a:t>2</a:t>
                </a:r>
                <a:r>
                  <a:rPr lang="en-US" sz="900" b="0" i="0" baseline="0">
                    <a:effectLst/>
                  </a:rPr>
                  <a:t> ígildi)</a:t>
                </a:r>
                <a:endParaRPr lang="is-IS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805127151"/>
        <c:crosses val="max"/>
        <c:crossBetween val="between"/>
      </c:valAx>
      <c:catAx>
        <c:axId val="18051271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60729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Basic</a:t>
            </a:r>
          </a:p>
        </c:rich>
      </c:tx>
      <c:layout>
        <c:manualLayout>
          <c:xMode val="edge"/>
          <c:yMode val="edge"/>
          <c:x val="0.46356233595800522"/>
          <c:y val="2.777777777777777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8810367454068241"/>
          <c:y val="0.1875"/>
          <c:w val="0.46388888888888891"/>
          <c:h val="0.773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8AA-47D1-B26F-D0B2E6CD2E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8AA-47D1-B26F-D0B2E6CD2E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253-43FC-939C-FC71F93686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Mælaborð!$A$11:$A$19</c15:sqref>
                  </c15:fullRef>
                </c:ext>
              </c:extLst>
              <c:f>(Mælaborð!$A$11,Mælaborð!$A$15,Mælaborð!$A$19)</c:f>
              <c:strCache>
                <c:ptCount val="3"/>
                <c:pt idx="0">
                  <c:v>Orkunotkun</c:v>
                </c:pt>
                <c:pt idx="1">
                  <c:v>Samgöngur</c:v>
                </c:pt>
                <c:pt idx="2">
                  <c:v>Úrgangur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Mælaborð!$B$11:$B$19</c15:sqref>
                  </c15:fullRef>
                </c:ext>
              </c:extLst>
              <c:f>(Mælaborð!$B$11,Mælaborð!$B$15,Mælaborð!$B$19)</c:f>
              <c:numCache>
                <c:formatCode>0</c:formatCode>
                <c:ptCount val="3"/>
                <c:pt idx="0">
                  <c:v>25351.897336593593</c:v>
                </c:pt>
                <c:pt idx="1">
                  <c:v>356334.47828659596</c:v>
                </c:pt>
                <c:pt idx="2">
                  <c:v>52686.13948807706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Mælaborð!$B$16</c15:sqref>
                  <c15:spPr xmlns:c15="http://schemas.microsoft.com/office/drawing/2012/chart"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Mælaborð!$B$17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  <c15:categoryFilterException>
                  <c15:sqref>Mælaborð!$B$18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9FB8-4ADA-AAC4-11CAA3728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7629046369204"/>
          <c:y val="0.3153988043161271"/>
          <c:w val="0.18212598425196846"/>
          <c:h val="0.619202026829979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Mælaborð!$A$15</c:f>
          <c:strCache>
            <c:ptCount val="1"/>
            <c:pt idx="0">
              <c:v>Samgöngur</c:v>
            </c:pt>
          </c:strCache>
        </c:strRef>
      </c:tx>
      <c:layout>
        <c:manualLayout>
          <c:xMode val="edge"/>
          <c:yMode val="edge"/>
          <c:x val="0.46356233595800522"/>
          <c:y val="2.777777777777777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8810367454068241"/>
          <c:y val="0.1875"/>
          <c:w val="0.46388888888888891"/>
          <c:h val="0.77314814814814814"/>
        </c:manualLayout>
      </c:layout>
      <c:pieChart>
        <c:varyColors val="1"/>
        <c:ser>
          <c:idx val="0"/>
          <c:order val="0"/>
          <c:tx>
            <c:strRef>
              <c:f>Mælaborð!$A$15</c:f>
              <c:strCache>
                <c:ptCount val="1"/>
                <c:pt idx="0">
                  <c:v>Samgöngur</c:v>
                </c:pt>
              </c:strCache>
            </c:strRef>
          </c:tx>
          <c:spPr>
            <a:solidFill>
              <a:schemeClr val="accent2"/>
            </a:solidFill>
          </c:spPr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83D-423C-BE44-6D95C580E2C6}"/>
              </c:ext>
            </c:extLst>
          </c:dPt>
          <c:dPt>
            <c:idx val="1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83D-423C-BE44-6D95C580E2C6}"/>
              </c:ext>
            </c:extLst>
          </c:dPt>
          <c:dPt>
            <c:idx val="2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83D-423C-BE44-6D95C580E2C6}"/>
              </c:ext>
            </c:extLst>
          </c:dPt>
          <c:dPt>
            <c:idx val="3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83D-423C-BE44-6D95C580E2C6}"/>
              </c:ext>
            </c:extLst>
          </c:dPt>
          <c:dPt>
            <c:idx val="4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83D-423C-BE44-6D95C580E2C6}"/>
              </c:ext>
            </c:extLst>
          </c:dPt>
          <c:dPt>
            <c:idx val="5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83D-423C-BE44-6D95C580E2C6}"/>
              </c:ext>
            </c:extLst>
          </c:dPt>
          <c:dPt>
            <c:idx val="6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83D-423C-BE44-6D95C580E2C6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83D-423C-BE44-6D95C580E2C6}"/>
              </c:ext>
            </c:extLst>
          </c:dPt>
          <c:dPt>
            <c:idx val="8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83D-423C-BE44-6D95C580E2C6}"/>
              </c:ext>
            </c:extLst>
          </c:dPt>
          <c:cat>
            <c:strRef>
              <c:f>Reykjavík!$A$107:$A$111</c:f>
              <c:strCache>
                <c:ptCount val="5"/>
                <c:pt idx="0">
                  <c:v>Fólksbifreiðar</c:v>
                </c:pt>
                <c:pt idx="1">
                  <c:v>Hópbifreiðar</c:v>
                </c:pt>
                <c:pt idx="2">
                  <c:v>Vörubifreiðar</c:v>
                </c:pt>
                <c:pt idx="3">
                  <c:v>Skipaumferð</c:v>
                </c:pt>
                <c:pt idx="4">
                  <c:v>Flugumferð</c:v>
                </c:pt>
              </c:strCache>
            </c:strRef>
          </c:cat>
          <c:val>
            <c:numRef>
              <c:f>Reykjavík!$J$107:$J$111</c:f>
              <c:numCache>
                <c:formatCode>#,##0</c:formatCode>
                <c:ptCount val="5"/>
                <c:pt idx="0">
                  <c:v>218748.33750437558</c:v>
                </c:pt>
                <c:pt idx="1">
                  <c:v>14249.07499839491</c:v>
                </c:pt>
                <c:pt idx="2">
                  <c:v>81222.211726417096</c:v>
                </c:pt>
                <c:pt idx="3">
                  <c:v>37572.295806000002</c:v>
                </c:pt>
                <c:pt idx="4">
                  <c:v>4542.5582514083553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83D-423C-BE44-6D95C580E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7629046369204"/>
          <c:y val="0.3153988043161271"/>
          <c:w val="0.18212598425196846"/>
          <c:h val="0.619202026829979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s-IS"/>
              <a:t>Mánaðarlegar breytingar á götuumferð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s-I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Götuumferð!$P$102:$P$224</c:f>
              <c:numCache>
                <c:formatCode>General</c:formatCode>
                <c:ptCount val="123"/>
                <c:pt idx="0">
                  <c:v>2012</c:v>
                </c:pt>
                <c:pt idx="1">
                  <c:v>2012.0769230769231</c:v>
                </c:pt>
                <c:pt idx="2">
                  <c:v>2012.1538461538462</c:v>
                </c:pt>
                <c:pt idx="3">
                  <c:v>2012.2307692307693</c:v>
                </c:pt>
                <c:pt idx="4">
                  <c:v>2012.3076923076924</c:v>
                </c:pt>
                <c:pt idx="5">
                  <c:v>2012.3846153846155</c:v>
                </c:pt>
                <c:pt idx="6">
                  <c:v>2012.4615384615386</c:v>
                </c:pt>
                <c:pt idx="7">
                  <c:v>2012.5384615384617</c:v>
                </c:pt>
                <c:pt idx="8">
                  <c:v>2012.6153846153848</c:v>
                </c:pt>
                <c:pt idx="9">
                  <c:v>2012.6923076923078</c:v>
                </c:pt>
                <c:pt idx="10">
                  <c:v>2012.7692307692309</c:v>
                </c:pt>
                <c:pt idx="11">
                  <c:v>2012.846153846154</c:v>
                </c:pt>
                <c:pt idx="12">
                  <c:v>2012.9230769230771</c:v>
                </c:pt>
                <c:pt idx="13">
                  <c:v>2013</c:v>
                </c:pt>
                <c:pt idx="14">
                  <c:v>2013.0769230769231</c:v>
                </c:pt>
                <c:pt idx="15">
                  <c:v>2013.1538461538462</c:v>
                </c:pt>
                <c:pt idx="16">
                  <c:v>2013.2307692307693</c:v>
                </c:pt>
                <c:pt idx="17">
                  <c:v>2013.3076923076924</c:v>
                </c:pt>
                <c:pt idx="18">
                  <c:v>2013.3846153846155</c:v>
                </c:pt>
                <c:pt idx="19">
                  <c:v>2013.4615384615386</c:v>
                </c:pt>
                <c:pt idx="20">
                  <c:v>2013.5384615384617</c:v>
                </c:pt>
                <c:pt idx="21">
                  <c:v>2013.6153846153848</c:v>
                </c:pt>
                <c:pt idx="22">
                  <c:v>2013.6923076923078</c:v>
                </c:pt>
                <c:pt idx="23">
                  <c:v>2013.7692307692309</c:v>
                </c:pt>
                <c:pt idx="24">
                  <c:v>2013.846153846154</c:v>
                </c:pt>
                <c:pt idx="25">
                  <c:v>2013.9230769230771</c:v>
                </c:pt>
                <c:pt idx="26">
                  <c:v>2014.0000000000002</c:v>
                </c:pt>
                <c:pt idx="27">
                  <c:v>2014.0769230769233</c:v>
                </c:pt>
                <c:pt idx="28">
                  <c:v>2014.1538461538464</c:v>
                </c:pt>
                <c:pt idx="29">
                  <c:v>2014.2307692307695</c:v>
                </c:pt>
                <c:pt idx="30">
                  <c:v>2014.3076923076926</c:v>
                </c:pt>
                <c:pt idx="31">
                  <c:v>2014.3846153846157</c:v>
                </c:pt>
                <c:pt idx="32">
                  <c:v>2014.4615384615388</c:v>
                </c:pt>
                <c:pt idx="33">
                  <c:v>2014.5384615384619</c:v>
                </c:pt>
                <c:pt idx="34">
                  <c:v>2014.615384615385</c:v>
                </c:pt>
                <c:pt idx="35">
                  <c:v>2014.6923076923081</c:v>
                </c:pt>
                <c:pt idx="36">
                  <c:v>2014.7692307692312</c:v>
                </c:pt>
                <c:pt idx="37">
                  <c:v>2014.8461538461543</c:v>
                </c:pt>
                <c:pt idx="38">
                  <c:v>2014.9230769230774</c:v>
                </c:pt>
                <c:pt idx="39">
                  <c:v>2015.0000000000005</c:v>
                </c:pt>
                <c:pt idx="40">
                  <c:v>2015.0769230769235</c:v>
                </c:pt>
                <c:pt idx="41">
                  <c:v>2015.1538461538466</c:v>
                </c:pt>
                <c:pt idx="42">
                  <c:v>2015.2307692307697</c:v>
                </c:pt>
                <c:pt idx="43">
                  <c:v>2015.3076923076928</c:v>
                </c:pt>
                <c:pt idx="44">
                  <c:v>2015.3846153846159</c:v>
                </c:pt>
                <c:pt idx="45">
                  <c:v>2015.461538461539</c:v>
                </c:pt>
                <c:pt idx="46">
                  <c:v>2015.5384615384621</c:v>
                </c:pt>
                <c:pt idx="47">
                  <c:v>2015.6153846153852</c:v>
                </c:pt>
                <c:pt idx="48">
                  <c:v>2015.6923076923083</c:v>
                </c:pt>
                <c:pt idx="49">
                  <c:v>2015.7692307692314</c:v>
                </c:pt>
                <c:pt idx="50">
                  <c:v>2015.8461538461545</c:v>
                </c:pt>
                <c:pt idx="51">
                  <c:v>2015.9230769230776</c:v>
                </c:pt>
                <c:pt idx="52">
                  <c:v>2016.0000000000007</c:v>
                </c:pt>
                <c:pt idx="53">
                  <c:v>2016.0769230769238</c:v>
                </c:pt>
                <c:pt idx="54">
                  <c:v>2016.1538461538469</c:v>
                </c:pt>
                <c:pt idx="55">
                  <c:v>2016.23076923077</c:v>
                </c:pt>
                <c:pt idx="56">
                  <c:v>2016.3076923076931</c:v>
                </c:pt>
                <c:pt idx="57">
                  <c:v>2016.3846153846162</c:v>
                </c:pt>
                <c:pt idx="58">
                  <c:v>2016.4615384615392</c:v>
                </c:pt>
                <c:pt idx="59">
                  <c:v>2016.5384615384623</c:v>
                </c:pt>
                <c:pt idx="60">
                  <c:v>2016.6153846153854</c:v>
                </c:pt>
                <c:pt idx="61">
                  <c:v>2016.6923076923085</c:v>
                </c:pt>
                <c:pt idx="62">
                  <c:v>2016.7692307692316</c:v>
                </c:pt>
                <c:pt idx="63">
                  <c:v>2016.8461538461547</c:v>
                </c:pt>
                <c:pt idx="64">
                  <c:v>2016.9230769230778</c:v>
                </c:pt>
                <c:pt idx="65">
                  <c:v>2017.0000000000009</c:v>
                </c:pt>
                <c:pt idx="66">
                  <c:v>2017.076923076924</c:v>
                </c:pt>
                <c:pt idx="67">
                  <c:v>2017.1538461538471</c:v>
                </c:pt>
                <c:pt idx="68">
                  <c:v>2017.2307692307702</c:v>
                </c:pt>
                <c:pt idx="69">
                  <c:v>2017.3076923076933</c:v>
                </c:pt>
                <c:pt idx="70">
                  <c:v>2017.3846153846164</c:v>
                </c:pt>
                <c:pt idx="71">
                  <c:v>2017.4615384615395</c:v>
                </c:pt>
                <c:pt idx="72">
                  <c:v>2017.5384615384626</c:v>
                </c:pt>
                <c:pt idx="73">
                  <c:v>2017.6153846153857</c:v>
                </c:pt>
                <c:pt idx="74">
                  <c:v>2017.6923076923088</c:v>
                </c:pt>
                <c:pt idx="75">
                  <c:v>2017.7692307692319</c:v>
                </c:pt>
                <c:pt idx="76">
                  <c:v>2017.8461538461549</c:v>
                </c:pt>
                <c:pt idx="77">
                  <c:v>2017.923076923078</c:v>
                </c:pt>
                <c:pt idx="78">
                  <c:v>2018.0000000000011</c:v>
                </c:pt>
                <c:pt idx="79">
                  <c:v>2018.0769230769242</c:v>
                </c:pt>
                <c:pt idx="80">
                  <c:v>2018.1538461538473</c:v>
                </c:pt>
                <c:pt idx="81">
                  <c:v>2018.2307692307704</c:v>
                </c:pt>
                <c:pt idx="82">
                  <c:v>2018.3076923076935</c:v>
                </c:pt>
                <c:pt idx="83">
                  <c:v>2018.3846153846166</c:v>
                </c:pt>
                <c:pt idx="84">
                  <c:v>2018.4615384615397</c:v>
                </c:pt>
                <c:pt idx="85">
                  <c:v>2018.5384615384628</c:v>
                </c:pt>
                <c:pt idx="86">
                  <c:v>2018.6153846153859</c:v>
                </c:pt>
                <c:pt idx="87">
                  <c:v>2018.692307692309</c:v>
                </c:pt>
                <c:pt idx="88">
                  <c:v>2018.7692307692321</c:v>
                </c:pt>
                <c:pt idx="89">
                  <c:v>2018.8461538461552</c:v>
                </c:pt>
                <c:pt idx="90">
                  <c:v>2018.9230769230783</c:v>
                </c:pt>
                <c:pt idx="91">
                  <c:v>2019.0000000000014</c:v>
                </c:pt>
                <c:pt idx="92">
                  <c:v>2019.0769230769245</c:v>
                </c:pt>
                <c:pt idx="93">
                  <c:v>2019.1538461538476</c:v>
                </c:pt>
                <c:pt idx="94">
                  <c:v>2019.2307692307706</c:v>
                </c:pt>
                <c:pt idx="95">
                  <c:v>2019.3076923076937</c:v>
                </c:pt>
                <c:pt idx="96">
                  <c:v>2019.3846153846168</c:v>
                </c:pt>
                <c:pt idx="97">
                  <c:v>2019.4615384615399</c:v>
                </c:pt>
                <c:pt idx="98">
                  <c:v>2019.538461538463</c:v>
                </c:pt>
                <c:pt idx="99">
                  <c:v>2019.6153846153861</c:v>
                </c:pt>
                <c:pt idx="100">
                  <c:v>2019.6923076923092</c:v>
                </c:pt>
                <c:pt idx="101">
                  <c:v>2019.7692307692323</c:v>
                </c:pt>
                <c:pt idx="102">
                  <c:v>2019.8461538461554</c:v>
                </c:pt>
                <c:pt idx="103">
                  <c:v>2019.9230769230785</c:v>
                </c:pt>
                <c:pt idx="104">
                  <c:v>2020.0000000000016</c:v>
                </c:pt>
                <c:pt idx="105">
                  <c:v>2020.0769230769247</c:v>
                </c:pt>
                <c:pt idx="106">
                  <c:v>2020.1538461538478</c:v>
                </c:pt>
                <c:pt idx="107">
                  <c:v>2020.2307692307709</c:v>
                </c:pt>
                <c:pt idx="108">
                  <c:v>2020.307692307694</c:v>
                </c:pt>
                <c:pt idx="109">
                  <c:v>2020.3846153846171</c:v>
                </c:pt>
                <c:pt idx="110">
                  <c:v>2020.4615384615402</c:v>
                </c:pt>
                <c:pt idx="111">
                  <c:v>2020.5384615384633</c:v>
                </c:pt>
                <c:pt idx="112">
                  <c:v>2020.6153846153863</c:v>
                </c:pt>
                <c:pt idx="113">
                  <c:v>2020.6923076923094</c:v>
                </c:pt>
                <c:pt idx="114">
                  <c:v>2020.7692307692325</c:v>
                </c:pt>
                <c:pt idx="115">
                  <c:v>2020.8461538461556</c:v>
                </c:pt>
                <c:pt idx="116">
                  <c:v>2020.9230769230787</c:v>
                </c:pt>
                <c:pt idx="117">
                  <c:v>2021.0000000000018</c:v>
                </c:pt>
                <c:pt idx="118">
                  <c:v>2021.0769230769249</c:v>
                </c:pt>
                <c:pt idx="119">
                  <c:v>2021.153846153848</c:v>
                </c:pt>
                <c:pt idx="120">
                  <c:v>2021.2307692307711</c:v>
                </c:pt>
                <c:pt idx="121">
                  <c:v>2021.3076923076942</c:v>
                </c:pt>
                <c:pt idx="122">
                  <c:v>2021.3846153846173</c:v>
                </c:pt>
              </c:numCache>
            </c:numRef>
          </c:xVal>
          <c:yVal>
            <c:numRef>
              <c:f>Götuumferð!$L$102:$L$223</c:f>
              <c:numCache>
                <c:formatCode>0.0%</c:formatCode>
                <c:ptCount val="122"/>
                <c:pt idx="0">
                  <c:v>-6.5011411577564626E-3</c:v>
                </c:pt>
                <c:pt idx="1">
                  <c:v>2.1234936057609621E-2</c:v>
                </c:pt>
                <c:pt idx="2">
                  <c:v>2.2612482669521983E-2</c:v>
                </c:pt>
                <c:pt idx="3">
                  <c:v>-1.0773239241054333E-2</c:v>
                </c:pt>
                <c:pt idx="4">
                  <c:v>1.9932940866862481E-4</c:v>
                </c:pt>
                <c:pt idx="5">
                  <c:v>4.9997258337208361E-2</c:v>
                </c:pt>
                <c:pt idx="6">
                  <c:v>5.316617572673854E-2</c:v>
                </c:pt>
                <c:pt idx="7">
                  <c:v>-1.2102943876614258E-2</c:v>
                </c:pt>
                <c:pt idx="8">
                  <c:v>-1.2347531243904974E-2</c:v>
                </c:pt>
                <c:pt idx="9">
                  <c:v>3.7513973897249642E-2</c:v>
                </c:pt>
                <c:pt idx="10">
                  <c:v>1.3105934423409238E-2</c:v>
                </c:pt>
                <c:pt idx="11">
                  <c:v>2.0772344067444104E-2</c:v>
                </c:pt>
                <c:pt idx="13">
                  <c:v>6.7499129829446503E-2</c:v>
                </c:pt>
                <c:pt idx="14">
                  <c:v>3.1703501664594347E-2</c:v>
                </c:pt>
                <c:pt idx="15">
                  <c:v>-1.3709039907671028E-2</c:v>
                </c:pt>
                <c:pt idx="16">
                  <c:v>8.4308935834134235E-2</c:v>
                </c:pt>
                <c:pt idx="17">
                  <c:v>2.8288577696642836E-2</c:v>
                </c:pt>
                <c:pt idx="18">
                  <c:v>2.9924003598842397E-3</c:v>
                </c:pt>
                <c:pt idx="19">
                  <c:v>2.9769990578829342E-2</c:v>
                </c:pt>
                <c:pt idx="20">
                  <c:v>3.7510218064958689E-2</c:v>
                </c:pt>
                <c:pt idx="21">
                  <c:v>6.9878776376293139E-3</c:v>
                </c:pt>
                <c:pt idx="22">
                  <c:v>3.1743073660680299E-2</c:v>
                </c:pt>
                <c:pt idx="23">
                  <c:v>1.8817351057017984E-2</c:v>
                </c:pt>
                <c:pt idx="24">
                  <c:v>2.0840861172843672E-2</c:v>
                </c:pt>
                <c:pt idx="26">
                  <c:v>3.9990014951886366E-2</c:v>
                </c:pt>
                <c:pt idx="27">
                  <c:v>3.6646527793976924E-2</c:v>
                </c:pt>
                <c:pt idx="28">
                  <c:v>6.4990523714703929E-2</c:v>
                </c:pt>
                <c:pt idx="29">
                  <c:v>-1.0203119155832718E-3</c:v>
                </c:pt>
                <c:pt idx="30">
                  <c:v>3.7199896901622731E-2</c:v>
                </c:pt>
                <c:pt idx="31">
                  <c:v>1.8847036816249885E-2</c:v>
                </c:pt>
                <c:pt idx="32">
                  <c:v>3.0916320287228238E-2</c:v>
                </c:pt>
                <c:pt idx="33">
                  <c:v>9.0264401990081122E-3</c:v>
                </c:pt>
                <c:pt idx="34">
                  <c:v>5.724328377809984E-2</c:v>
                </c:pt>
                <c:pt idx="35">
                  <c:v>3.4928536858530368E-2</c:v>
                </c:pt>
                <c:pt idx="36">
                  <c:v>2.9054758032768024E-2</c:v>
                </c:pt>
                <c:pt idx="37">
                  <c:v>3.1494800755016428E-3</c:v>
                </c:pt>
                <c:pt idx="39">
                  <c:v>1.5793640482151261E-3</c:v>
                </c:pt>
                <c:pt idx="40">
                  <c:v>-8.1005421970768987E-3</c:v>
                </c:pt>
                <c:pt idx="41">
                  <c:v>3.2801366903268292E-2</c:v>
                </c:pt>
                <c:pt idx="42">
                  <c:v>2.9327215027453724E-2</c:v>
                </c:pt>
                <c:pt idx="43">
                  <c:v>1.8459559074088583E-2</c:v>
                </c:pt>
                <c:pt idx="44">
                  <c:v>7.8669907753460055E-2</c:v>
                </c:pt>
                <c:pt idx="45">
                  <c:v>7.3713859066032006E-2</c:v>
                </c:pt>
                <c:pt idx="46">
                  <c:v>6.886426124927536E-2</c:v>
                </c:pt>
                <c:pt idx="47">
                  <c:v>6.2811952275471983E-2</c:v>
                </c:pt>
                <c:pt idx="48">
                  <c:v>4.5992227390424523E-2</c:v>
                </c:pt>
                <c:pt idx="49">
                  <c:v>5.5401359542565309E-2</c:v>
                </c:pt>
                <c:pt idx="50">
                  <c:v>4.4999221248968491E-2</c:v>
                </c:pt>
                <c:pt idx="52">
                  <c:v>4.7915906712796108E-2</c:v>
                </c:pt>
                <c:pt idx="53">
                  <c:v>7.2998907075876529E-2</c:v>
                </c:pt>
                <c:pt idx="54">
                  <c:v>3.3667731816716229E-2</c:v>
                </c:pt>
                <c:pt idx="55">
                  <c:v>0.12931920139298558</c:v>
                </c:pt>
                <c:pt idx="56">
                  <c:v>7.627856086114404E-2</c:v>
                </c:pt>
                <c:pt idx="57">
                  <c:v>4.2433335217570534E-2</c:v>
                </c:pt>
                <c:pt idx="58">
                  <c:v>3.5452079310759332E-2</c:v>
                </c:pt>
                <c:pt idx="59">
                  <c:v>9.1991834476374823E-2</c:v>
                </c:pt>
                <c:pt idx="60">
                  <c:v>8.0739447700058697E-2</c:v>
                </c:pt>
                <c:pt idx="61">
                  <c:v>4.3173615921811903E-2</c:v>
                </c:pt>
                <c:pt idx="62">
                  <c:v>8.886530075069965E-2</c:v>
                </c:pt>
                <c:pt idx="63">
                  <c:v>0.12355435607004517</c:v>
                </c:pt>
                <c:pt idx="65">
                  <c:v>9.2598994248547228E-2</c:v>
                </c:pt>
                <c:pt idx="66">
                  <c:v>6.5181826417116451E-2</c:v>
                </c:pt>
                <c:pt idx="67">
                  <c:v>0.14602069686869656</c:v>
                </c:pt>
                <c:pt idx="68">
                  <c:v>5.0586704483408518E-2</c:v>
                </c:pt>
                <c:pt idx="69">
                  <c:v>8.1334498557619428E-2</c:v>
                </c:pt>
                <c:pt idx="70">
                  <c:v>0.10537924959819756</c:v>
                </c:pt>
                <c:pt idx="71">
                  <c:v>9.502970138226563E-2</c:v>
                </c:pt>
                <c:pt idx="72">
                  <c:v>6.4694654771844773E-2</c:v>
                </c:pt>
                <c:pt idx="73">
                  <c:v>7.1577712119395676E-2</c:v>
                </c:pt>
                <c:pt idx="74">
                  <c:v>9.044452708126749E-2</c:v>
                </c:pt>
                <c:pt idx="75">
                  <c:v>5.485673846222161E-2</c:v>
                </c:pt>
                <c:pt idx="76">
                  <c:v>4.9950438902150562E-2</c:v>
                </c:pt>
                <c:pt idx="78">
                  <c:v>4.6028510544006807E-2</c:v>
                </c:pt>
                <c:pt idx="79">
                  <c:v>1.9834602743784124E-2</c:v>
                </c:pt>
                <c:pt idx="80">
                  <c:v>2.4309303816771655E-2</c:v>
                </c:pt>
                <c:pt idx="81">
                  <c:v>4.1905511872618817E-2</c:v>
                </c:pt>
                <c:pt idx="82">
                  <c:v>2.6130907130897052E-2</c:v>
                </c:pt>
                <c:pt idx="83">
                  <c:v>2.5515341511492151E-2</c:v>
                </c:pt>
                <c:pt idx="84">
                  <c:v>2.5631498875323899E-2</c:v>
                </c:pt>
                <c:pt idx="85">
                  <c:v>2.386228392333134E-2</c:v>
                </c:pt>
                <c:pt idx="86">
                  <c:v>1.5010312465283171E-2</c:v>
                </c:pt>
                <c:pt idx="87">
                  <c:v>4.1026855491876901E-2</c:v>
                </c:pt>
                <c:pt idx="88">
                  <c:v>4.3795203735273347E-2</c:v>
                </c:pt>
                <c:pt idx="89">
                  <c:v>5.1712362572400306E-3</c:v>
                </c:pt>
                <c:pt idx="90">
                  <c:v>1.5241885439683404E-2</c:v>
                </c:pt>
                <c:pt idx="91">
                  <c:v>1.6218273886985379E-2</c:v>
                </c:pt>
                <c:pt idx="92">
                  <c:v>7.058472295642737E-2</c:v>
                </c:pt>
                <c:pt idx="93">
                  <c:v>8.2706372678418294E-3</c:v>
                </c:pt>
                <c:pt idx="94">
                  <c:v>-2.5650990202638724E-2</c:v>
                </c:pt>
                <c:pt idx="95">
                  <c:v>4.7355358180302565E-2</c:v>
                </c:pt>
                <c:pt idx="96">
                  <c:v>-1.4813813145482357E-2</c:v>
                </c:pt>
                <c:pt idx="97">
                  <c:v>2.2510750142982872E-2</c:v>
                </c:pt>
                <c:pt idx="98">
                  <c:v>3.564310533311188E-3</c:v>
                </c:pt>
                <c:pt idx="99">
                  <c:v>3.1536402084781923E-3</c:v>
                </c:pt>
                <c:pt idx="100">
                  <c:v>1.6088144407091498E-2</c:v>
                </c:pt>
                <c:pt idx="101">
                  <c:v>1.7113859336255199E-3</c:v>
                </c:pt>
                <c:pt idx="102">
                  <c:v>-1.0444039501341096E-2</c:v>
                </c:pt>
                <c:pt idx="104">
                  <c:v>-1.5792261795868123E-2</c:v>
                </c:pt>
                <c:pt idx="105">
                  <c:v>-8.7228827769554318E-3</c:v>
                </c:pt>
                <c:pt idx="106">
                  <c:v>-0.20666133367378603</c:v>
                </c:pt>
                <c:pt idx="107">
                  <c:v>-0.27729578970386559</c:v>
                </c:pt>
                <c:pt idx="108">
                  <c:v>1.2417322631711691E-2</c:v>
                </c:pt>
                <c:pt idx="109">
                  <c:v>1.2417322631711691E-2</c:v>
                </c:pt>
                <c:pt idx="110">
                  <c:v>-3.4211859035475745E-2</c:v>
                </c:pt>
                <c:pt idx="111">
                  <c:v>-7.2665048536431853E-2</c:v>
                </c:pt>
                <c:pt idx="112">
                  <c:v>-4.4498688906854045E-2</c:v>
                </c:pt>
                <c:pt idx="113">
                  <c:v>-0.19953389524534126</c:v>
                </c:pt>
                <c:pt idx="114">
                  <c:v>-0.20005986587488311</c:v>
                </c:pt>
                <c:pt idx="115">
                  <c:v>-7.6698257743490927E-2</c:v>
                </c:pt>
                <c:pt idx="117">
                  <c:v>-6.4187483298504433E-2</c:v>
                </c:pt>
                <c:pt idx="118">
                  <c:v>-7.7155880955463996E-3</c:v>
                </c:pt>
                <c:pt idx="119">
                  <c:v>0.24699234049298324</c:v>
                </c:pt>
                <c:pt idx="120">
                  <c:v>0.31618900213645995</c:v>
                </c:pt>
                <c:pt idx="121">
                  <c:v>7.9853339489473374E-2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26-4932-A05A-3379697B8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  <c:min val="201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s-IS"/>
                  <a:t>Breyting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s-I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Götuumferð!$O$115:$O$224</c:f>
              <c:numCache>
                <c:formatCode>General</c:formatCode>
                <c:ptCount val="110"/>
                <c:pt idx="0">
                  <c:v>2013</c:v>
                </c:pt>
                <c:pt idx="1">
                  <c:v>2013</c:v>
                </c:pt>
                <c:pt idx="2">
                  <c:v>2013</c:v>
                </c:pt>
                <c:pt idx="3">
                  <c:v>2013</c:v>
                </c:pt>
                <c:pt idx="4">
                  <c:v>2013</c:v>
                </c:pt>
                <c:pt idx="5">
                  <c:v>2013</c:v>
                </c:pt>
                <c:pt idx="6">
                  <c:v>2013</c:v>
                </c:pt>
                <c:pt idx="7">
                  <c:v>2013</c:v>
                </c:pt>
                <c:pt idx="8">
                  <c:v>2013</c:v>
                </c:pt>
                <c:pt idx="9">
                  <c:v>2013</c:v>
                </c:pt>
                <c:pt idx="10">
                  <c:v>2013</c:v>
                </c:pt>
                <c:pt idx="11">
                  <c:v>2013</c:v>
                </c:pt>
                <c:pt idx="13">
                  <c:v>2014</c:v>
                </c:pt>
                <c:pt idx="14">
                  <c:v>2014</c:v>
                </c:pt>
                <c:pt idx="15">
                  <c:v>2014</c:v>
                </c:pt>
                <c:pt idx="16">
                  <c:v>2014</c:v>
                </c:pt>
                <c:pt idx="17">
                  <c:v>2014</c:v>
                </c:pt>
                <c:pt idx="18">
                  <c:v>2014</c:v>
                </c:pt>
                <c:pt idx="19">
                  <c:v>2014</c:v>
                </c:pt>
                <c:pt idx="20">
                  <c:v>2014</c:v>
                </c:pt>
                <c:pt idx="21">
                  <c:v>2014</c:v>
                </c:pt>
                <c:pt idx="22">
                  <c:v>2014</c:v>
                </c:pt>
                <c:pt idx="23">
                  <c:v>2014</c:v>
                </c:pt>
                <c:pt idx="24">
                  <c:v>2014</c:v>
                </c:pt>
                <c:pt idx="26">
                  <c:v>2015</c:v>
                </c:pt>
                <c:pt idx="27">
                  <c:v>2015</c:v>
                </c:pt>
                <c:pt idx="28">
                  <c:v>2015</c:v>
                </c:pt>
                <c:pt idx="29">
                  <c:v>2015</c:v>
                </c:pt>
                <c:pt idx="30">
                  <c:v>2015</c:v>
                </c:pt>
                <c:pt idx="31">
                  <c:v>2015</c:v>
                </c:pt>
                <c:pt idx="32">
                  <c:v>2015</c:v>
                </c:pt>
                <c:pt idx="33">
                  <c:v>2015</c:v>
                </c:pt>
                <c:pt idx="34">
                  <c:v>2015</c:v>
                </c:pt>
                <c:pt idx="35">
                  <c:v>2015</c:v>
                </c:pt>
                <c:pt idx="36">
                  <c:v>2015</c:v>
                </c:pt>
                <c:pt idx="37">
                  <c:v>2015</c:v>
                </c:pt>
                <c:pt idx="39">
                  <c:v>2016</c:v>
                </c:pt>
                <c:pt idx="40">
                  <c:v>2016</c:v>
                </c:pt>
                <c:pt idx="41">
                  <c:v>2016</c:v>
                </c:pt>
                <c:pt idx="42">
                  <c:v>2016</c:v>
                </c:pt>
                <c:pt idx="43">
                  <c:v>2016</c:v>
                </c:pt>
                <c:pt idx="44">
                  <c:v>2016</c:v>
                </c:pt>
                <c:pt idx="45">
                  <c:v>2016</c:v>
                </c:pt>
                <c:pt idx="46">
                  <c:v>2016</c:v>
                </c:pt>
                <c:pt idx="47">
                  <c:v>2016</c:v>
                </c:pt>
                <c:pt idx="48">
                  <c:v>2016</c:v>
                </c:pt>
                <c:pt idx="49">
                  <c:v>2016</c:v>
                </c:pt>
                <c:pt idx="50">
                  <c:v>2016</c:v>
                </c:pt>
                <c:pt idx="52">
                  <c:v>2017</c:v>
                </c:pt>
                <c:pt idx="53">
                  <c:v>2017</c:v>
                </c:pt>
                <c:pt idx="54">
                  <c:v>2017</c:v>
                </c:pt>
                <c:pt idx="55">
                  <c:v>2017</c:v>
                </c:pt>
                <c:pt idx="56">
                  <c:v>2017</c:v>
                </c:pt>
                <c:pt idx="57">
                  <c:v>2017</c:v>
                </c:pt>
                <c:pt idx="58">
                  <c:v>2017</c:v>
                </c:pt>
                <c:pt idx="59">
                  <c:v>2017</c:v>
                </c:pt>
                <c:pt idx="60">
                  <c:v>2017</c:v>
                </c:pt>
                <c:pt idx="61">
                  <c:v>2017</c:v>
                </c:pt>
                <c:pt idx="62">
                  <c:v>2017</c:v>
                </c:pt>
                <c:pt idx="63">
                  <c:v>2017</c:v>
                </c:pt>
                <c:pt idx="65">
                  <c:v>2018</c:v>
                </c:pt>
                <c:pt idx="66">
                  <c:v>2018</c:v>
                </c:pt>
                <c:pt idx="67">
                  <c:v>2018</c:v>
                </c:pt>
                <c:pt idx="68">
                  <c:v>2018</c:v>
                </c:pt>
                <c:pt idx="69">
                  <c:v>2018</c:v>
                </c:pt>
                <c:pt idx="70">
                  <c:v>2018</c:v>
                </c:pt>
                <c:pt idx="71">
                  <c:v>2018</c:v>
                </c:pt>
                <c:pt idx="72">
                  <c:v>2018</c:v>
                </c:pt>
                <c:pt idx="73">
                  <c:v>2018</c:v>
                </c:pt>
                <c:pt idx="74">
                  <c:v>2018</c:v>
                </c:pt>
                <c:pt idx="75">
                  <c:v>2018</c:v>
                </c:pt>
                <c:pt idx="76">
                  <c:v>2018</c:v>
                </c:pt>
                <c:pt idx="78">
                  <c:v>2019</c:v>
                </c:pt>
                <c:pt idx="79">
                  <c:v>2019</c:v>
                </c:pt>
                <c:pt idx="80">
                  <c:v>2019</c:v>
                </c:pt>
                <c:pt idx="81">
                  <c:v>2019</c:v>
                </c:pt>
                <c:pt idx="82">
                  <c:v>2019</c:v>
                </c:pt>
                <c:pt idx="83">
                  <c:v>2019</c:v>
                </c:pt>
                <c:pt idx="84">
                  <c:v>2019</c:v>
                </c:pt>
                <c:pt idx="85">
                  <c:v>2019</c:v>
                </c:pt>
                <c:pt idx="86">
                  <c:v>2019</c:v>
                </c:pt>
                <c:pt idx="87">
                  <c:v>2019</c:v>
                </c:pt>
                <c:pt idx="88">
                  <c:v>2019</c:v>
                </c:pt>
                <c:pt idx="89">
                  <c:v>2019</c:v>
                </c:pt>
                <c:pt idx="91">
                  <c:v>2020</c:v>
                </c:pt>
                <c:pt idx="92">
                  <c:v>2020</c:v>
                </c:pt>
                <c:pt idx="93">
                  <c:v>2020</c:v>
                </c:pt>
                <c:pt idx="94">
                  <c:v>2020</c:v>
                </c:pt>
                <c:pt idx="95">
                  <c:v>2020</c:v>
                </c:pt>
                <c:pt idx="96">
                  <c:v>2020</c:v>
                </c:pt>
                <c:pt idx="97">
                  <c:v>2020</c:v>
                </c:pt>
                <c:pt idx="98">
                  <c:v>2020</c:v>
                </c:pt>
                <c:pt idx="99">
                  <c:v>2020</c:v>
                </c:pt>
                <c:pt idx="100">
                  <c:v>2020</c:v>
                </c:pt>
                <c:pt idx="101">
                  <c:v>2020</c:v>
                </c:pt>
                <c:pt idx="102">
                  <c:v>2020</c:v>
                </c:pt>
                <c:pt idx="104">
                  <c:v>2021</c:v>
                </c:pt>
                <c:pt idx="105">
                  <c:v>2021</c:v>
                </c:pt>
                <c:pt idx="106">
                  <c:v>2021</c:v>
                </c:pt>
                <c:pt idx="107">
                  <c:v>2021</c:v>
                </c:pt>
                <c:pt idx="108">
                  <c:v>2021</c:v>
                </c:pt>
                <c:pt idx="109">
                  <c:v>2021</c:v>
                </c:pt>
              </c:numCache>
            </c:numRef>
          </c:xVal>
          <c:yVal>
            <c:numRef>
              <c:f>Götuumferð!$L$115:$L$223</c:f>
              <c:numCache>
                <c:formatCode>0.0%</c:formatCode>
                <c:ptCount val="109"/>
                <c:pt idx="0">
                  <c:v>6.7499129829446503E-2</c:v>
                </c:pt>
                <c:pt idx="1">
                  <c:v>3.1703501664594347E-2</c:v>
                </c:pt>
                <c:pt idx="2">
                  <c:v>-1.3709039907671028E-2</c:v>
                </c:pt>
                <c:pt idx="3">
                  <c:v>8.4308935834134235E-2</c:v>
                </c:pt>
                <c:pt idx="4">
                  <c:v>2.8288577696642836E-2</c:v>
                </c:pt>
                <c:pt idx="5">
                  <c:v>2.9924003598842397E-3</c:v>
                </c:pt>
                <c:pt idx="6">
                  <c:v>2.9769990578829342E-2</c:v>
                </c:pt>
                <c:pt idx="7">
                  <c:v>3.7510218064958689E-2</c:v>
                </c:pt>
                <c:pt idx="8">
                  <c:v>6.9878776376293139E-3</c:v>
                </c:pt>
                <c:pt idx="9">
                  <c:v>3.1743073660680299E-2</c:v>
                </c:pt>
                <c:pt idx="10">
                  <c:v>1.8817351057017984E-2</c:v>
                </c:pt>
                <c:pt idx="11">
                  <c:v>2.0840861172843672E-2</c:v>
                </c:pt>
                <c:pt idx="13">
                  <c:v>3.9990014951886366E-2</c:v>
                </c:pt>
                <c:pt idx="14">
                  <c:v>3.6646527793976924E-2</c:v>
                </c:pt>
                <c:pt idx="15">
                  <c:v>6.4990523714703929E-2</c:v>
                </c:pt>
                <c:pt idx="16">
                  <c:v>-1.0203119155832718E-3</c:v>
                </c:pt>
                <c:pt idx="17">
                  <c:v>3.7199896901622731E-2</c:v>
                </c:pt>
                <c:pt idx="18">
                  <c:v>1.8847036816249885E-2</c:v>
                </c:pt>
                <c:pt idx="19">
                  <c:v>3.0916320287228238E-2</c:v>
                </c:pt>
                <c:pt idx="20">
                  <c:v>9.0264401990081122E-3</c:v>
                </c:pt>
                <c:pt idx="21">
                  <c:v>5.724328377809984E-2</c:v>
                </c:pt>
                <c:pt idx="22">
                  <c:v>3.4928536858530368E-2</c:v>
                </c:pt>
                <c:pt idx="23">
                  <c:v>2.9054758032768024E-2</c:v>
                </c:pt>
                <c:pt idx="24">
                  <c:v>3.1494800755016428E-3</c:v>
                </c:pt>
                <c:pt idx="26">
                  <c:v>1.5793640482151261E-3</c:v>
                </c:pt>
                <c:pt idx="27">
                  <c:v>-8.1005421970768987E-3</c:v>
                </c:pt>
                <c:pt idx="28">
                  <c:v>3.2801366903268292E-2</c:v>
                </c:pt>
                <c:pt idx="29">
                  <c:v>2.9327215027453724E-2</c:v>
                </c:pt>
                <c:pt idx="30">
                  <c:v>1.8459559074088583E-2</c:v>
                </c:pt>
                <c:pt idx="31">
                  <c:v>7.8669907753460055E-2</c:v>
                </c:pt>
                <c:pt idx="32">
                  <c:v>7.3713859066032006E-2</c:v>
                </c:pt>
                <c:pt idx="33">
                  <c:v>6.886426124927536E-2</c:v>
                </c:pt>
                <c:pt idx="34">
                  <c:v>6.2811952275471983E-2</c:v>
                </c:pt>
                <c:pt idx="35">
                  <c:v>4.5992227390424523E-2</c:v>
                </c:pt>
                <c:pt idx="36">
                  <c:v>5.5401359542565309E-2</c:v>
                </c:pt>
                <c:pt idx="37">
                  <c:v>4.4999221248968491E-2</c:v>
                </c:pt>
                <c:pt idx="39">
                  <c:v>4.7915906712796108E-2</c:v>
                </c:pt>
                <c:pt idx="40">
                  <c:v>7.2998907075876529E-2</c:v>
                </c:pt>
                <c:pt idx="41">
                  <c:v>3.3667731816716229E-2</c:v>
                </c:pt>
                <c:pt idx="42">
                  <c:v>0.12931920139298558</c:v>
                </c:pt>
                <c:pt idx="43">
                  <c:v>7.627856086114404E-2</c:v>
                </c:pt>
                <c:pt idx="44">
                  <c:v>4.2433335217570534E-2</c:v>
                </c:pt>
                <c:pt idx="45">
                  <c:v>3.5452079310759332E-2</c:v>
                </c:pt>
                <c:pt idx="46">
                  <c:v>9.1991834476374823E-2</c:v>
                </c:pt>
                <c:pt idx="47">
                  <c:v>8.0739447700058697E-2</c:v>
                </c:pt>
                <c:pt idx="48">
                  <c:v>4.3173615921811903E-2</c:v>
                </c:pt>
                <c:pt idx="49">
                  <c:v>8.886530075069965E-2</c:v>
                </c:pt>
                <c:pt idx="50">
                  <c:v>0.12355435607004517</c:v>
                </c:pt>
                <c:pt idx="52">
                  <c:v>9.2598994248547228E-2</c:v>
                </c:pt>
                <c:pt idx="53">
                  <c:v>6.5181826417116451E-2</c:v>
                </c:pt>
                <c:pt idx="54">
                  <c:v>0.14602069686869656</c:v>
                </c:pt>
                <c:pt idx="55">
                  <c:v>5.0586704483408518E-2</c:v>
                </c:pt>
                <c:pt idx="56">
                  <c:v>8.1334498557619428E-2</c:v>
                </c:pt>
                <c:pt idx="57">
                  <c:v>0.10537924959819756</c:v>
                </c:pt>
                <c:pt idx="58">
                  <c:v>9.502970138226563E-2</c:v>
                </c:pt>
                <c:pt idx="59">
                  <c:v>6.4694654771844773E-2</c:v>
                </c:pt>
                <c:pt idx="60">
                  <c:v>7.1577712119395676E-2</c:v>
                </c:pt>
                <c:pt idx="61">
                  <c:v>9.044452708126749E-2</c:v>
                </c:pt>
                <c:pt idx="62">
                  <c:v>5.485673846222161E-2</c:v>
                </c:pt>
                <c:pt idx="63">
                  <c:v>4.9950438902150562E-2</c:v>
                </c:pt>
                <c:pt idx="65">
                  <c:v>4.6028510544006807E-2</c:v>
                </c:pt>
                <c:pt idx="66">
                  <c:v>1.9834602743784124E-2</c:v>
                </c:pt>
                <c:pt idx="67">
                  <c:v>2.4309303816771655E-2</c:v>
                </c:pt>
                <c:pt idx="68">
                  <c:v>4.1905511872618817E-2</c:v>
                </c:pt>
                <c:pt idx="69">
                  <c:v>2.6130907130897052E-2</c:v>
                </c:pt>
                <c:pt idx="70">
                  <c:v>2.5515341511492151E-2</c:v>
                </c:pt>
                <c:pt idx="71">
                  <c:v>2.5631498875323899E-2</c:v>
                </c:pt>
                <c:pt idx="72">
                  <c:v>2.386228392333134E-2</c:v>
                </c:pt>
                <c:pt idx="73">
                  <c:v>1.5010312465283171E-2</c:v>
                </c:pt>
                <c:pt idx="74">
                  <c:v>4.1026855491876901E-2</c:v>
                </c:pt>
                <c:pt idx="75">
                  <c:v>4.3795203735273347E-2</c:v>
                </c:pt>
                <c:pt idx="76">
                  <c:v>5.1712362572400306E-3</c:v>
                </c:pt>
                <c:pt idx="77">
                  <c:v>1.5241885439683404E-2</c:v>
                </c:pt>
                <c:pt idx="78">
                  <c:v>1.6218273886985379E-2</c:v>
                </c:pt>
                <c:pt idx="79">
                  <c:v>7.058472295642737E-2</c:v>
                </c:pt>
                <c:pt idx="80">
                  <c:v>8.2706372678418294E-3</c:v>
                </c:pt>
                <c:pt idx="81">
                  <c:v>-2.5650990202638724E-2</c:v>
                </c:pt>
                <c:pt idx="82">
                  <c:v>4.7355358180302565E-2</c:v>
                </c:pt>
                <c:pt idx="83">
                  <c:v>-1.4813813145482357E-2</c:v>
                </c:pt>
                <c:pt idx="84">
                  <c:v>2.2510750142982872E-2</c:v>
                </c:pt>
                <c:pt idx="85">
                  <c:v>3.564310533311188E-3</c:v>
                </c:pt>
                <c:pt idx="86">
                  <c:v>3.1536402084781923E-3</c:v>
                </c:pt>
                <c:pt idx="87">
                  <c:v>1.6088144407091498E-2</c:v>
                </c:pt>
                <c:pt idx="88">
                  <c:v>1.7113859336255199E-3</c:v>
                </c:pt>
                <c:pt idx="89">
                  <c:v>-1.0444039501341096E-2</c:v>
                </c:pt>
                <c:pt idx="91">
                  <c:v>-1.5792261795868123E-2</c:v>
                </c:pt>
                <c:pt idx="92">
                  <c:v>-8.7228827769554318E-3</c:v>
                </c:pt>
                <c:pt idx="93">
                  <c:v>-0.20666133367378603</c:v>
                </c:pt>
                <c:pt idx="94">
                  <c:v>-0.27729578970386559</c:v>
                </c:pt>
                <c:pt idx="95">
                  <c:v>1.2417322631711691E-2</c:v>
                </c:pt>
                <c:pt idx="96">
                  <c:v>1.2417322631711691E-2</c:v>
                </c:pt>
                <c:pt idx="97">
                  <c:v>-3.4211859035475745E-2</c:v>
                </c:pt>
                <c:pt idx="98">
                  <c:v>-7.2665048536431853E-2</c:v>
                </c:pt>
                <c:pt idx="99">
                  <c:v>-4.4498688906854045E-2</c:v>
                </c:pt>
                <c:pt idx="100">
                  <c:v>-0.19953389524534126</c:v>
                </c:pt>
                <c:pt idx="101">
                  <c:v>-0.20005986587488311</c:v>
                </c:pt>
                <c:pt idx="102">
                  <c:v>-7.6698257743490927E-2</c:v>
                </c:pt>
                <c:pt idx="104">
                  <c:v>-6.4187483298504433E-2</c:v>
                </c:pt>
                <c:pt idx="105">
                  <c:v>-7.7155880955463996E-3</c:v>
                </c:pt>
                <c:pt idx="106">
                  <c:v>0.24699234049298324</c:v>
                </c:pt>
                <c:pt idx="107">
                  <c:v>0.31618900213645995</c:v>
                </c:pt>
                <c:pt idx="108">
                  <c:v>7.9853339489473374E-2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B7-4C21-BDB1-25962BB1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Götuumferð!$P$115:$P$223</c:f>
              <c:numCache>
                <c:formatCode>General</c:formatCode>
                <c:ptCount val="109"/>
                <c:pt idx="0">
                  <c:v>2013</c:v>
                </c:pt>
                <c:pt idx="1">
                  <c:v>2013.0769230769231</c:v>
                </c:pt>
                <c:pt idx="2">
                  <c:v>2013.1538461538462</c:v>
                </c:pt>
                <c:pt idx="3">
                  <c:v>2013.2307692307693</c:v>
                </c:pt>
                <c:pt idx="4">
                  <c:v>2013.3076923076924</c:v>
                </c:pt>
                <c:pt idx="5">
                  <c:v>2013.3846153846155</c:v>
                </c:pt>
                <c:pt idx="6">
                  <c:v>2013.4615384615386</c:v>
                </c:pt>
                <c:pt idx="7">
                  <c:v>2013.5384615384617</c:v>
                </c:pt>
                <c:pt idx="8">
                  <c:v>2013.6153846153848</c:v>
                </c:pt>
                <c:pt idx="9">
                  <c:v>2013.6923076923078</c:v>
                </c:pt>
                <c:pt idx="10">
                  <c:v>2013.7692307692309</c:v>
                </c:pt>
                <c:pt idx="11">
                  <c:v>2013.846153846154</c:v>
                </c:pt>
                <c:pt idx="12">
                  <c:v>2013.9230769230771</c:v>
                </c:pt>
                <c:pt idx="13">
                  <c:v>2014.0000000000002</c:v>
                </c:pt>
                <c:pt idx="14">
                  <c:v>2014.0769230769233</c:v>
                </c:pt>
                <c:pt idx="15">
                  <c:v>2014.1538461538464</c:v>
                </c:pt>
                <c:pt idx="16">
                  <c:v>2014.2307692307695</c:v>
                </c:pt>
                <c:pt idx="17">
                  <c:v>2014.3076923076926</c:v>
                </c:pt>
                <c:pt idx="18">
                  <c:v>2014.3846153846157</c:v>
                </c:pt>
                <c:pt idx="19">
                  <c:v>2014.4615384615388</c:v>
                </c:pt>
                <c:pt idx="20">
                  <c:v>2014.5384615384619</c:v>
                </c:pt>
                <c:pt idx="21">
                  <c:v>2014.615384615385</c:v>
                </c:pt>
                <c:pt idx="22">
                  <c:v>2014.6923076923081</c:v>
                </c:pt>
                <c:pt idx="23">
                  <c:v>2014.7692307692312</c:v>
                </c:pt>
                <c:pt idx="24">
                  <c:v>2014.8461538461543</c:v>
                </c:pt>
                <c:pt idx="25">
                  <c:v>2014.9230769230774</c:v>
                </c:pt>
                <c:pt idx="26">
                  <c:v>2015.0000000000005</c:v>
                </c:pt>
                <c:pt idx="27">
                  <c:v>2015.0769230769235</c:v>
                </c:pt>
                <c:pt idx="28">
                  <c:v>2015.1538461538466</c:v>
                </c:pt>
                <c:pt idx="29">
                  <c:v>2015.2307692307697</c:v>
                </c:pt>
                <c:pt idx="30">
                  <c:v>2015.3076923076928</c:v>
                </c:pt>
                <c:pt idx="31">
                  <c:v>2015.3846153846159</c:v>
                </c:pt>
                <c:pt idx="32">
                  <c:v>2015.461538461539</c:v>
                </c:pt>
                <c:pt idx="33">
                  <c:v>2015.5384615384621</c:v>
                </c:pt>
                <c:pt idx="34">
                  <c:v>2015.6153846153852</c:v>
                </c:pt>
                <c:pt idx="35">
                  <c:v>2015.6923076923083</c:v>
                </c:pt>
                <c:pt idx="36">
                  <c:v>2015.7692307692314</c:v>
                </c:pt>
                <c:pt idx="37">
                  <c:v>2015.8461538461545</c:v>
                </c:pt>
                <c:pt idx="38">
                  <c:v>2015.9230769230776</c:v>
                </c:pt>
                <c:pt idx="39">
                  <c:v>2016.0000000000007</c:v>
                </c:pt>
                <c:pt idx="40">
                  <c:v>2016.0769230769238</c:v>
                </c:pt>
                <c:pt idx="41">
                  <c:v>2016.1538461538469</c:v>
                </c:pt>
                <c:pt idx="42">
                  <c:v>2016.23076923077</c:v>
                </c:pt>
                <c:pt idx="43">
                  <c:v>2016.3076923076931</c:v>
                </c:pt>
                <c:pt idx="44">
                  <c:v>2016.3846153846162</c:v>
                </c:pt>
                <c:pt idx="45">
                  <c:v>2016.4615384615392</c:v>
                </c:pt>
                <c:pt idx="46">
                  <c:v>2016.5384615384623</c:v>
                </c:pt>
                <c:pt idx="47">
                  <c:v>2016.6153846153854</c:v>
                </c:pt>
                <c:pt idx="48">
                  <c:v>2016.6923076923085</c:v>
                </c:pt>
                <c:pt idx="49">
                  <c:v>2016.7692307692316</c:v>
                </c:pt>
                <c:pt idx="50">
                  <c:v>2016.8461538461547</c:v>
                </c:pt>
                <c:pt idx="51">
                  <c:v>2016.9230769230778</c:v>
                </c:pt>
                <c:pt idx="52">
                  <c:v>2017.0000000000009</c:v>
                </c:pt>
                <c:pt idx="53">
                  <c:v>2017.076923076924</c:v>
                </c:pt>
                <c:pt idx="54">
                  <c:v>2017.1538461538471</c:v>
                </c:pt>
                <c:pt idx="55">
                  <c:v>2017.2307692307702</c:v>
                </c:pt>
                <c:pt idx="56">
                  <c:v>2017.3076923076933</c:v>
                </c:pt>
                <c:pt idx="57">
                  <c:v>2017.3846153846164</c:v>
                </c:pt>
                <c:pt idx="58">
                  <c:v>2017.4615384615395</c:v>
                </c:pt>
                <c:pt idx="59">
                  <c:v>2017.5384615384626</c:v>
                </c:pt>
                <c:pt idx="60">
                  <c:v>2017.6153846153857</c:v>
                </c:pt>
                <c:pt idx="61">
                  <c:v>2017.6923076923088</c:v>
                </c:pt>
                <c:pt idx="62">
                  <c:v>2017.7692307692319</c:v>
                </c:pt>
                <c:pt idx="63">
                  <c:v>2017.8461538461549</c:v>
                </c:pt>
                <c:pt idx="64">
                  <c:v>2017.923076923078</c:v>
                </c:pt>
                <c:pt idx="65">
                  <c:v>2018.0000000000011</c:v>
                </c:pt>
                <c:pt idx="66">
                  <c:v>2018.0769230769242</c:v>
                </c:pt>
                <c:pt idx="67">
                  <c:v>2018.1538461538473</c:v>
                </c:pt>
                <c:pt idx="68">
                  <c:v>2018.2307692307704</c:v>
                </c:pt>
                <c:pt idx="69">
                  <c:v>2018.3076923076935</c:v>
                </c:pt>
                <c:pt idx="70">
                  <c:v>2018.3846153846166</c:v>
                </c:pt>
                <c:pt idx="71">
                  <c:v>2018.4615384615397</c:v>
                </c:pt>
                <c:pt idx="72">
                  <c:v>2018.5384615384628</c:v>
                </c:pt>
                <c:pt idx="73">
                  <c:v>2018.6153846153859</c:v>
                </c:pt>
                <c:pt idx="74">
                  <c:v>2018.692307692309</c:v>
                </c:pt>
                <c:pt idx="75">
                  <c:v>2018.7692307692321</c:v>
                </c:pt>
                <c:pt idx="76">
                  <c:v>2018.8461538461552</c:v>
                </c:pt>
                <c:pt idx="77">
                  <c:v>2018.9230769230783</c:v>
                </c:pt>
                <c:pt idx="78">
                  <c:v>2019.0000000000014</c:v>
                </c:pt>
                <c:pt idx="79">
                  <c:v>2019.0769230769245</c:v>
                </c:pt>
                <c:pt idx="80">
                  <c:v>2019.1538461538476</c:v>
                </c:pt>
                <c:pt idx="81">
                  <c:v>2019.2307692307706</c:v>
                </c:pt>
                <c:pt idx="82">
                  <c:v>2019.3076923076937</c:v>
                </c:pt>
                <c:pt idx="83">
                  <c:v>2019.3846153846168</c:v>
                </c:pt>
                <c:pt idx="84">
                  <c:v>2019.4615384615399</c:v>
                </c:pt>
                <c:pt idx="85">
                  <c:v>2019.538461538463</c:v>
                </c:pt>
                <c:pt idx="86">
                  <c:v>2019.6153846153861</c:v>
                </c:pt>
                <c:pt idx="87">
                  <c:v>2019.6923076923092</c:v>
                </c:pt>
                <c:pt idx="88">
                  <c:v>2019.7692307692323</c:v>
                </c:pt>
                <c:pt idx="89">
                  <c:v>2019.8461538461554</c:v>
                </c:pt>
                <c:pt idx="90">
                  <c:v>2019.9230769230785</c:v>
                </c:pt>
                <c:pt idx="91">
                  <c:v>2020.0000000000016</c:v>
                </c:pt>
                <c:pt idx="92">
                  <c:v>2020.0769230769247</c:v>
                </c:pt>
                <c:pt idx="93">
                  <c:v>2020.1538461538478</c:v>
                </c:pt>
                <c:pt idx="94">
                  <c:v>2020.2307692307709</c:v>
                </c:pt>
                <c:pt idx="95">
                  <c:v>2020.307692307694</c:v>
                </c:pt>
                <c:pt idx="96">
                  <c:v>2020.3846153846171</c:v>
                </c:pt>
                <c:pt idx="97">
                  <c:v>2020.4615384615402</c:v>
                </c:pt>
                <c:pt idx="98">
                  <c:v>2020.5384615384633</c:v>
                </c:pt>
                <c:pt idx="99">
                  <c:v>2020.6153846153863</c:v>
                </c:pt>
                <c:pt idx="100">
                  <c:v>2020.6923076923094</c:v>
                </c:pt>
                <c:pt idx="101">
                  <c:v>2020.7692307692325</c:v>
                </c:pt>
                <c:pt idx="102">
                  <c:v>2020.8461538461556</c:v>
                </c:pt>
                <c:pt idx="103">
                  <c:v>2020.9230769230787</c:v>
                </c:pt>
                <c:pt idx="104">
                  <c:v>2021.0000000000018</c:v>
                </c:pt>
                <c:pt idx="105">
                  <c:v>2021.0769230769249</c:v>
                </c:pt>
                <c:pt idx="106">
                  <c:v>2021.153846153848</c:v>
                </c:pt>
                <c:pt idx="107">
                  <c:v>2021.2307692307711</c:v>
                </c:pt>
                <c:pt idx="108">
                  <c:v>2021.3076923076942</c:v>
                </c:pt>
              </c:numCache>
            </c:numRef>
          </c:xVal>
          <c:yVal>
            <c:numRef>
              <c:f>Götuumferð!$M$115:$M$223</c:f>
              <c:numCache>
                <c:formatCode>0.0%</c:formatCode>
                <c:ptCount val="109"/>
                <c:pt idx="0">
                  <c:v>6.7499129829446503E-2</c:v>
                </c:pt>
                <c:pt idx="1">
                  <c:v>4.8874047792966779E-2</c:v>
                </c:pt>
                <c:pt idx="2">
                  <c:v>2.7215886593721983E-2</c:v>
                </c:pt>
                <c:pt idx="3">
                  <c:v>4.1400719742825887E-2</c:v>
                </c:pt>
                <c:pt idx="4">
                  <c:v>3.8617362594568716E-2</c:v>
                </c:pt>
                <c:pt idx="5">
                  <c:v>3.2313802000434988E-2</c:v>
                </c:pt>
                <c:pt idx="6">
                  <c:v>3.195538063105241E-2</c:v>
                </c:pt>
                <c:pt idx="7">
                  <c:v>3.266958988378188E-2</c:v>
                </c:pt>
                <c:pt idx="8">
                  <c:v>2.9693086868847196E-2</c:v>
                </c:pt>
                <c:pt idx="9">
                  <c:v>2.9905533182804644E-2</c:v>
                </c:pt>
                <c:pt idx="10">
                  <c:v>2.8877129440049831E-2</c:v>
                </c:pt>
                <c:pt idx="11">
                  <c:v>2.8204394465260352E-2</c:v>
                </c:pt>
                <c:pt idx="12">
                  <c:v>2.8204394465260352E-2</c:v>
                </c:pt>
                <c:pt idx="13">
                  <c:v>3.9990014951886366E-2</c:v>
                </c:pt>
                <c:pt idx="14">
                  <c:v>3.8278820236276712E-2</c:v>
                </c:pt>
                <c:pt idx="15">
                  <c:v>4.7154661069458648E-2</c:v>
                </c:pt>
                <c:pt idx="16">
                  <c:v>3.469237729220187E-2</c:v>
                </c:pt>
                <c:pt idx="17">
                  <c:v>3.5219363273639503E-2</c:v>
                </c:pt>
                <c:pt idx="18">
                  <c:v>3.2404691074733316E-2</c:v>
                </c:pt>
                <c:pt idx="19">
                  <c:v>3.2195424709540399E-2</c:v>
                </c:pt>
                <c:pt idx="20">
                  <c:v>2.9202525355809028E-2</c:v>
                </c:pt>
                <c:pt idx="21">
                  <c:v>3.2380778992170844E-2</c:v>
                </c:pt>
                <c:pt idx="22">
                  <c:v>3.264528190509175E-2</c:v>
                </c:pt>
                <c:pt idx="23">
                  <c:v>3.23155249718452E-2</c:v>
                </c:pt>
                <c:pt idx="24">
                  <c:v>2.9891451882241293E-2</c:v>
                </c:pt>
                <c:pt idx="25">
                  <c:v>2.9891451882241293E-2</c:v>
                </c:pt>
                <c:pt idx="26">
                  <c:v>1.5793640482151261E-3</c:v>
                </c:pt>
                <c:pt idx="27">
                  <c:v>-3.367017624398394E-3</c:v>
                </c:pt>
                <c:pt idx="28">
                  <c:v>8.8558172624702003E-3</c:v>
                </c:pt>
                <c:pt idx="29">
                  <c:v>1.3968738017950066E-2</c:v>
                </c:pt>
                <c:pt idx="30">
                  <c:v>1.4914344744845653E-2</c:v>
                </c:pt>
                <c:pt idx="31">
                  <c:v>2.5731038412432516E-2</c:v>
                </c:pt>
                <c:pt idx="32">
                  <c:v>3.2469108948660397E-2</c:v>
                </c:pt>
                <c:pt idx="33">
                  <c:v>3.707835993910491E-2</c:v>
                </c:pt>
                <c:pt idx="34">
                  <c:v>4.0065353168157847E-2</c:v>
                </c:pt>
                <c:pt idx="35">
                  <c:v>4.0682029408591225E-2</c:v>
                </c:pt>
                <c:pt idx="36">
                  <c:v>4.2029595856515778E-2</c:v>
                </c:pt>
                <c:pt idx="37">
                  <c:v>4.227000115618762E-2</c:v>
                </c:pt>
                <c:pt idx="38">
                  <c:v>4.227000115618762E-2</c:v>
                </c:pt>
                <c:pt idx="39">
                  <c:v>4.7915906712796108E-2</c:v>
                </c:pt>
                <c:pt idx="40">
                  <c:v>6.0672313359037888E-2</c:v>
                </c:pt>
                <c:pt idx="41">
                  <c:v>5.1329708365608573E-2</c:v>
                </c:pt>
                <c:pt idx="42">
                  <c:v>7.1103345139745144E-2</c:v>
                </c:pt>
                <c:pt idx="43">
                  <c:v>7.2196867475452287E-2</c:v>
                </c:pt>
                <c:pt idx="44">
                  <c:v>6.6886605073284811E-2</c:v>
                </c:pt>
                <c:pt idx="45">
                  <c:v>6.2296018482718818E-2</c:v>
                </c:pt>
                <c:pt idx="46">
                  <c:v>6.6172101445729492E-2</c:v>
                </c:pt>
                <c:pt idx="47">
                  <c:v>6.7899967470287592E-2</c:v>
                </c:pt>
                <c:pt idx="48">
                  <c:v>6.5314125697884862E-2</c:v>
                </c:pt>
                <c:pt idx="49">
                  <c:v>6.7497922969308233E-2</c:v>
                </c:pt>
                <c:pt idx="50">
                  <c:v>7.2047840846281241E-2</c:v>
                </c:pt>
                <c:pt idx="51">
                  <c:v>7.2047840846281241E-2</c:v>
                </c:pt>
                <c:pt idx="52">
                  <c:v>9.2598994248547228E-2</c:v>
                </c:pt>
                <c:pt idx="53">
                  <c:v>7.8493461024362166E-2</c:v>
                </c:pt>
                <c:pt idx="54">
                  <c:v>0.10146296042185421</c:v>
                </c:pt>
                <c:pt idx="55">
                  <c:v>8.7862583795647042E-2</c:v>
                </c:pt>
                <c:pt idx="56">
                  <c:v>8.647794921923535E-2</c:v>
                </c:pt>
                <c:pt idx="57">
                  <c:v>8.9772932561707153E-2</c:v>
                </c:pt>
                <c:pt idx="58">
                  <c:v>9.0521213358614627E-2</c:v>
                </c:pt>
                <c:pt idx="59">
                  <c:v>8.7068532658443942E-2</c:v>
                </c:pt>
                <c:pt idx="60">
                  <c:v>8.5209039969855072E-2</c:v>
                </c:pt>
                <c:pt idx="61">
                  <c:v>8.5745179600434707E-2</c:v>
                </c:pt>
                <c:pt idx="62">
                  <c:v>8.2823700060650429E-2</c:v>
                </c:pt>
                <c:pt idx="63">
                  <c:v>8.0027290299421239E-2</c:v>
                </c:pt>
                <c:pt idx="64">
                  <c:v>8.0027290299421239E-2</c:v>
                </c:pt>
                <c:pt idx="65">
                  <c:v>4.6028510544006807E-2</c:v>
                </c:pt>
                <c:pt idx="66">
                  <c:v>3.2718651872744697E-2</c:v>
                </c:pt>
                <c:pt idx="67">
                  <c:v>2.97424838306799E-2</c:v>
                </c:pt>
                <c:pt idx="68">
                  <c:v>3.2882525131284313E-2</c:v>
                </c:pt>
                <c:pt idx="69">
                  <c:v>3.1457257701654529E-2</c:v>
                </c:pt>
                <c:pt idx="70">
                  <c:v>3.0406594910582285E-2</c:v>
                </c:pt>
                <c:pt idx="71">
                  <c:v>2.9724068261157033E-2</c:v>
                </c:pt>
                <c:pt idx="72">
                  <c:v>2.8956551510029849E-2</c:v>
                </c:pt>
                <c:pt idx="73">
                  <c:v>2.7303496041732656E-2</c:v>
                </c:pt>
                <c:pt idx="74">
                  <c:v>2.8714918169851611E-2</c:v>
                </c:pt>
                <c:pt idx="75">
                  <c:v>3.0104397697588992E-2</c:v>
                </c:pt>
                <c:pt idx="76">
                  <c:v>2.8042488962377599E-2</c:v>
                </c:pt>
                <c:pt idx="77">
                  <c:v>2.8042488962377606E-2</c:v>
                </c:pt>
                <c:pt idx="78">
                  <c:v>1.6218273886985379E-2</c:v>
                </c:pt>
                <c:pt idx="79">
                  <c:v>4.3498743375507853E-2</c:v>
                </c:pt>
                <c:pt idx="80">
                  <c:v>3.1096881117401054E-2</c:v>
                </c:pt>
                <c:pt idx="81">
                  <c:v>1.6318711963529964E-2</c:v>
                </c:pt>
                <c:pt idx="82">
                  <c:v>2.2836718877805584E-2</c:v>
                </c:pt>
                <c:pt idx="83">
                  <c:v>1.6210870710027248E-2</c:v>
                </c:pt>
                <c:pt idx="84">
                  <c:v>1.7107762869000176E-2</c:v>
                </c:pt>
                <c:pt idx="85">
                  <c:v>1.5343221199382917E-2</c:v>
                </c:pt>
                <c:pt idx="86">
                  <c:v>1.3915672977145244E-2</c:v>
                </c:pt>
                <c:pt idx="87">
                  <c:v>1.4141781770448114E-2</c:v>
                </c:pt>
                <c:pt idx="88">
                  <c:v>1.2981237795800071E-2</c:v>
                </c:pt>
                <c:pt idx="89">
                  <c:v>1.1087125087072547E-2</c:v>
                </c:pt>
                <c:pt idx="90">
                  <c:v>1.1087125087072547E-2</c:v>
                </c:pt>
                <c:pt idx="91">
                  <c:v>-1.5792261795868123E-2</c:v>
                </c:pt>
                <c:pt idx="92">
                  <c:v>-1.2152849566947066E-2</c:v>
                </c:pt>
                <c:pt idx="93">
                  <c:v>-7.9112596507291966E-2</c:v>
                </c:pt>
                <c:pt idx="94">
                  <c:v>-0.12859177792939869</c:v>
                </c:pt>
                <c:pt idx="95">
                  <c:v>-9.8600876340504406E-2</c:v>
                </c:pt>
                <c:pt idx="96">
                  <c:v>-9.8600876340504406E-2</c:v>
                </c:pt>
                <c:pt idx="97">
                  <c:v>-8.9385338220906774E-2</c:v>
                </c:pt>
                <c:pt idx="98">
                  <c:v>-8.723216650111601E-2</c:v>
                </c:pt>
                <c:pt idx="99">
                  <c:v>-8.2280676984505474E-2</c:v>
                </c:pt>
                <c:pt idx="100">
                  <c:v>-9.4507703629290285E-2</c:v>
                </c:pt>
                <c:pt idx="101">
                  <c:v>-0.10425277413182188</c:v>
                </c:pt>
                <c:pt idx="102">
                  <c:v>-0.10207222614065981</c:v>
                </c:pt>
                <c:pt idx="103">
                  <c:v>-0.10207222614065981</c:v>
                </c:pt>
                <c:pt idx="104">
                  <c:v>-6.4187483298504433E-2</c:v>
                </c:pt>
                <c:pt idx="105">
                  <c:v>-3.5014041031198095E-2</c:v>
                </c:pt>
                <c:pt idx="106">
                  <c:v>4.8620615917666976E-2</c:v>
                </c:pt>
                <c:pt idx="107">
                  <c:v>0.10402312265492086</c:v>
                </c:pt>
                <c:pt idx="108">
                  <c:v>9.8671066070454172E-2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49-4D7F-A3CF-8B2FA84DE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511631"/>
        <c:axId val="30346591"/>
      </c:scatterChart>
      <c:valAx>
        <c:axId val="1695511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30346591"/>
        <c:crosses val="autoZero"/>
        <c:crossBetween val="midCat"/>
      </c:valAx>
      <c:valAx>
        <c:axId val="30346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s-IS"/>
          </a:p>
        </c:txPr>
        <c:crossAx val="169551163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FCE4B8D1-B7C9-451A-AC32-7F6795A66DEF}">
          <cx:dataLabels pos="outEnd">
            <cx:visibility seriesName="0" categoryName="0" value="1"/>
          </cx:dataLabels>
          <cx:dataId val="0"/>
          <cx:layoutPr>
            <cx:visibility connectorLines="0"/>
            <cx:subtotals>
              <cx:idx val="12"/>
              <cx:idx val="13"/>
              <cx:idx val="14"/>
            </cx:subtotals>
          </cx:layoutPr>
        </cx:series>
      </cx:plotAreaRegion>
      <cx:axis id="0">
        <cx:catScaling gapWidth="0.550000012"/>
        <cx:tickLabels/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r>
                  <a:rPr lang="en-US" sz="900" b="0" i="0" u="none" strike="noStrike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Arial"/>
                    <a:cs typeface="Arial"/>
                  </a:rPr>
                  <a:t>Losun (t CO</a:t>
                </a:r>
                <a:r>
                  <a:rPr lang="en-US" sz="900" b="0" i="0" u="none" strike="noStrike" baseline="-2500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Arial"/>
                    <a:cs typeface="Arial"/>
                  </a:rPr>
                  <a:t>2</a:t>
                </a:r>
                <a:r>
                  <a:rPr lang="en-US" sz="900" b="0" i="0" u="none" strike="noStrike" baseline="0">
                    <a:solidFill>
                      <a:srgbClr val="000000">
                        <a:lumMod val="65000"/>
                        <a:lumOff val="35000"/>
                      </a:srgbClr>
                    </a:solidFill>
                    <a:latin typeface="Arial"/>
                    <a:cs typeface="Arial"/>
                  </a:rPr>
                  <a:t> ígildi)</a:t>
                </a:r>
              </a:p>
            </cx:rich>
          </cx:tx>
        </cx:title>
        <cx:majorGridlines/>
        <cx:tickLabels/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2.xml"/><Relationship Id="rId7" Type="http://schemas.openxmlformats.org/officeDocument/2006/relationships/image" Target="../media/image4.png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12" Type="http://schemas.openxmlformats.org/officeDocument/2006/relationships/chart" Target="../charts/chart23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11" Type="http://schemas.openxmlformats.org/officeDocument/2006/relationships/chart" Target="../charts/chart22.xml"/><Relationship Id="rId5" Type="http://schemas.openxmlformats.org/officeDocument/2006/relationships/chart" Target="../charts/chart16.xml"/><Relationship Id="rId10" Type="http://schemas.openxmlformats.org/officeDocument/2006/relationships/chart" Target="../charts/chart21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408214</xdr:colOff>
      <xdr:row>2</xdr:row>
      <xdr:rowOff>176892</xdr:rowOff>
    </xdr:from>
    <xdr:to>
      <xdr:col>26</xdr:col>
      <xdr:colOff>323095</xdr:colOff>
      <xdr:row>6</xdr:row>
      <xdr:rowOff>33940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0710B3-F7FA-4E09-B6C7-321A3483E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2321" y="775606"/>
          <a:ext cx="6038095" cy="61904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</xdr:row>
      <xdr:rowOff>122465</xdr:rowOff>
    </xdr:from>
    <xdr:to>
      <xdr:col>32</xdr:col>
      <xdr:colOff>163448</xdr:colOff>
      <xdr:row>61</xdr:row>
      <xdr:rowOff>46464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06217C-5C00-45FB-B6F7-AAB3ED4B1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22927" y="1655758"/>
          <a:ext cx="9827838" cy="9797474"/>
        </a:xfrm>
        <a:prstGeom prst="rect">
          <a:avLst/>
        </a:prstGeom>
      </xdr:spPr>
    </xdr:pic>
    <xdr:clientData/>
  </xdr:twoCellAnchor>
  <xdr:twoCellAnchor editAs="oneCell">
    <xdr:from>
      <xdr:col>32</xdr:col>
      <xdr:colOff>427695</xdr:colOff>
      <xdr:row>8</xdr:row>
      <xdr:rowOff>23232</xdr:rowOff>
    </xdr:from>
    <xdr:to>
      <xdr:col>48</xdr:col>
      <xdr:colOff>187458</xdr:colOff>
      <xdr:row>60</xdr:row>
      <xdr:rowOff>46463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297903-1735-4787-8C5E-11D35EDFE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73220" y="1756782"/>
          <a:ext cx="9513363" cy="97101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874620</xdr:colOff>
      <xdr:row>77</xdr:row>
      <xdr:rowOff>111032</xdr:rowOff>
    </xdr:from>
    <xdr:to>
      <xdr:col>10</xdr:col>
      <xdr:colOff>460562</xdr:colOff>
      <xdr:row>93</xdr:row>
      <xdr:rowOff>150720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2501AC6-619F-41A6-A3A6-3BB9EBFDE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428625</xdr:colOff>
      <xdr:row>7</xdr:row>
      <xdr:rowOff>8335</xdr:rowOff>
    </xdr:from>
    <xdr:to>
      <xdr:col>19</xdr:col>
      <xdr:colOff>181769</xdr:colOff>
      <xdr:row>44</xdr:row>
      <xdr:rowOff>133351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083EF5AC-BCDA-4981-9461-3FD01F17D4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29400" y="1237060"/>
              <a:ext cx="10554494" cy="64115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s-I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60</xdr:row>
      <xdr:rowOff>63500</xdr:rowOff>
    </xdr:from>
    <xdr:to>
      <xdr:col>3</xdr:col>
      <xdr:colOff>1035050</xdr:colOff>
      <xdr:row>81</xdr:row>
      <xdr:rowOff>31750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2D4A4F-32FF-46C2-BFA9-ED3C995DE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603110</xdr:colOff>
      <xdr:row>80</xdr:row>
      <xdr:rowOff>6490</xdr:rowOff>
    </xdr:from>
    <xdr:to>
      <xdr:col>20</xdr:col>
      <xdr:colOff>36933</xdr:colOff>
      <xdr:row>95</xdr:row>
      <xdr:rowOff>160197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8AAACB5-D1A9-46C6-8F74-5596E3845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</xdr:colOff>
      <xdr:row>85</xdr:row>
      <xdr:rowOff>25400</xdr:rowOff>
    </xdr:from>
    <xdr:to>
      <xdr:col>3</xdr:col>
      <xdr:colOff>1003300</xdr:colOff>
      <xdr:row>105</xdr:row>
      <xdr:rowOff>50800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44C3791-3DF2-49EE-BC8E-B70DDEC5E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708772</xdr:colOff>
      <xdr:row>57</xdr:row>
      <xdr:rowOff>31937</xdr:rowOff>
    </xdr:from>
    <xdr:to>
      <xdr:col>10</xdr:col>
      <xdr:colOff>266140</xdr:colOff>
      <xdr:row>73</xdr:row>
      <xdr:rowOff>70037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8D1CEBC-1624-4505-BBFB-895A13BA7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393280</xdr:colOff>
      <xdr:row>1</xdr:row>
      <xdr:rowOff>150119</xdr:rowOff>
    </xdr:from>
    <xdr:to>
      <xdr:col>1</xdr:col>
      <xdr:colOff>181360</xdr:colOff>
      <xdr:row>4</xdr:row>
      <xdr:rowOff>10129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AE9AD22-E384-46EA-A7E3-FA46DCCC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280" y="316807"/>
          <a:ext cx="1446224" cy="458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639484</xdr:colOff>
      <xdr:row>0</xdr:row>
      <xdr:rowOff>166302</xdr:rowOff>
    </xdr:from>
    <xdr:to>
      <xdr:col>4</xdr:col>
      <xdr:colOff>343366</xdr:colOff>
      <xdr:row>7</xdr:row>
      <xdr:rowOff>57150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9C7DC62-0061-4FC7-B1CE-8A06A892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0453" y="166302"/>
          <a:ext cx="823069" cy="1152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357188</xdr:colOff>
      <xdr:row>59</xdr:row>
      <xdr:rowOff>1</xdr:rowOff>
    </xdr:from>
    <xdr:to>
      <xdr:col>19</xdr:col>
      <xdr:colOff>405888</xdr:colOff>
      <xdr:row>75</xdr:row>
      <xdr:rowOff>17463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BC2ECB7F-799B-4EB8-8120-C53955FE9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526256</xdr:colOff>
      <xdr:row>41</xdr:row>
      <xdr:rowOff>35718</xdr:rowOff>
    </xdr:from>
    <xdr:to>
      <xdr:col>29</xdr:col>
      <xdr:colOff>486107</xdr:colOff>
      <xdr:row>51</xdr:row>
      <xdr:rowOff>65650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9796D2-FCD3-403F-A2F0-A3B0F1471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7406" y="9255918"/>
          <a:ext cx="10050001" cy="1842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41274</xdr:colOff>
      <xdr:row>194</xdr:row>
      <xdr:rowOff>30162</xdr:rowOff>
    </xdr:from>
    <xdr:to>
      <xdr:col>24</xdr:col>
      <xdr:colOff>550333</xdr:colOff>
      <xdr:row>206</xdr:row>
      <xdr:rowOff>147637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CC6E25-1E04-47BD-A455-8D9CABFC9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111125</xdr:colOff>
      <xdr:row>207</xdr:row>
      <xdr:rowOff>38100</xdr:rowOff>
    </xdr:from>
    <xdr:to>
      <xdr:col>24</xdr:col>
      <xdr:colOff>539750</xdr:colOff>
      <xdr:row>220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9B97E5-D7BE-40FB-A25E-C27A86E26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73025</xdr:colOff>
      <xdr:row>179</xdr:row>
      <xdr:rowOff>88900</xdr:rowOff>
    </xdr:from>
    <xdr:to>
      <xdr:col>24</xdr:col>
      <xdr:colOff>530225</xdr:colOff>
      <xdr:row>193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1C65FE9-694A-4385-B2BB-D10D0EF4A8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95250</xdr:colOff>
      <xdr:row>165</xdr:row>
      <xdr:rowOff>142875</xdr:rowOff>
    </xdr:from>
    <xdr:to>
      <xdr:col>24</xdr:col>
      <xdr:colOff>552450</xdr:colOff>
      <xdr:row>179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3E6323-709E-4CDC-9D24-BCD7DD46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104775</xdr:colOff>
      <xdr:row>220</xdr:row>
      <xdr:rowOff>123825</xdr:rowOff>
    </xdr:from>
    <xdr:to>
      <xdr:col>24</xdr:col>
      <xdr:colOff>561975</xdr:colOff>
      <xdr:row>234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79ECCE4-BAE3-4F29-A649-B272E164B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61707</xdr:colOff>
      <xdr:row>11</xdr:row>
      <xdr:rowOff>3814</xdr:rowOff>
    </xdr:from>
    <xdr:to>
      <xdr:col>28</xdr:col>
      <xdr:colOff>350083</xdr:colOff>
      <xdr:row>23</xdr:row>
      <xdr:rowOff>82450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0769AB-B59D-4C41-A973-EBAFB290C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97518</xdr:colOff>
      <xdr:row>62</xdr:row>
      <xdr:rowOff>70303</xdr:rowOff>
    </xdr:from>
    <xdr:to>
      <xdr:col>28</xdr:col>
      <xdr:colOff>444500</xdr:colOff>
      <xdr:row>76</xdr:row>
      <xdr:rowOff>142853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806022-2A9D-45F6-B285-FCE510196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83909</xdr:colOff>
      <xdr:row>1</xdr:row>
      <xdr:rowOff>117926</xdr:rowOff>
    </xdr:from>
    <xdr:to>
      <xdr:col>28</xdr:col>
      <xdr:colOff>285750</xdr:colOff>
      <xdr:row>10</xdr:row>
      <xdr:rowOff>155743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94E729-9CDF-41C3-A2BC-820C81597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45</xdr:col>
      <xdr:colOff>603779</xdr:colOff>
      <xdr:row>24</xdr:row>
      <xdr:rowOff>169861</xdr:rowOff>
    </xdr:from>
    <xdr:to>
      <xdr:col>56</xdr:col>
      <xdr:colOff>190500</xdr:colOff>
      <xdr:row>45</xdr:row>
      <xdr:rowOff>95250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1F821F0-9417-4420-9AC8-73FF58C2E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46</xdr:col>
      <xdr:colOff>343958</xdr:colOff>
      <xdr:row>1</xdr:row>
      <xdr:rowOff>117172</xdr:rowOff>
    </xdr:from>
    <xdr:to>
      <xdr:col>54</xdr:col>
      <xdr:colOff>161396</xdr:colOff>
      <xdr:row>13</xdr:row>
      <xdr:rowOff>148090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B0A9A86-26EA-4E59-8313-86040345F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417379</xdr:colOff>
      <xdr:row>1</xdr:row>
      <xdr:rowOff>117210</xdr:rowOff>
    </xdr:from>
    <xdr:to>
      <xdr:col>46</xdr:col>
      <xdr:colOff>234817</xdr:colOff>
      <xdr:row>11</xdr:row>
      <xdr:rowOff>31486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0415486-8F37-4FBD-9AAE-704EBEC4C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38100</xdr:colOff>
      <xdr:row>68</xdr:row>
      <xdr:rowOff>5159</xdr:rowOff>
    </xdr:from>
    <xdr:to>
      <xdr:col>56</xdr:col>
      <xdr:colOff>361950</xdr:colOff>
      <xdr:row>90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41642D6-8DB7-4763-B641-32E1B9504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149679</xdr:colOff>
      <xdr:row>24</xdr:row>
      <xdr:rowOff>27215</xdr:rowOff>
    </xdr:from>
    <xdr:to>
      <xdr:col>28</xdr:col>
      <xdr:colOff>351520</xdr:colOff>
      <xdr:row>36</xdr:row>
      <xdr:rowOff>105854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FE99926-C9BE-414D-A7F9-8EDFAA710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136072</xdr:colOff>
      <xdr:row>36</xdr:row>
      <xdr:rowOff>176893</xdr:rowOff>
    </xdr:from>
    <xdr:to>
      <xdr:col>28</xdr:col>
      <xdr:colOff>424448</xdr:colOff>
      <xdr:row>49</xdr:row>
      <xdr:rowOff>65029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B72C129-6F71-45D4-8854-8D17389EE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21</xdr:col>
      <xdr:colOff>116418</xdr:colOff>
      <xdr:row>77</xdr:row>
      <xdr:rowOff>74083</xdr:rowOff>
    </xdr:from>
    <xdr:to>
      <xdr:col>28</xdr:col>
      <xdr:colOff>404794</xdr:colOff>
      <xdr:row>92</xdr:row>
      <xdr:rowOff>78636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90578D2-3898-4A6C-B991-EEF65C21B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137584</xdr:colOff>
      <xdr:row>49</xdr:row>
      <xdr:rowOff>158750</xdr:rowOff>
    </xdr:from>
    <xdr:to>
      <xdr:col>28</xdr:col>
      <xdr:colOff>339425</xdr:colOff>
      <xdr:row>62</xdr:row>
      <xdr:rowOff>46888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3C2A3E2-C16A-45A0-8542-96AAAFDD2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46</xdr:col>
      <xdr:colOff>0</xdr:colOff>
      <xdr:row>48</xdr:row>
      <xdr:rowOff>0</xdr:rowOff>
    </xdr:from>
    <xdr:to>
      <xdr:col>56</xdr:col>
      <xdr:colOff>196321</xdr:colOff>
      <xdr:row>68</xdr:row>
      <xdr:rowOff>153989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85D887FC-7BA2-4882-8194-809874771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92980</xdr:colOff>
      <xdr:row>22</xdr:row>
      <xdr:rowOff>23132</xdr:rowOff>
    </xdr:from>
    <xdr:to>
      <xdr:col>26</xdr:col>
      <xdr:colOff>181428</xdr:colOff>
      <xdr:row>36</xdr:row>
      <xdr:rowOff>58511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5A495F-147B-4A3E-846F-2A401FB49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72571</xdr:colOff>
      <xdr:row>36</xdr:row>
      <xdr:rowOff>124732</xdr:rowOff>
    </xdr:from>
    <xdr:to>
      <xdr:col>26</xdr:col>
      <xdr:colOff>208643</xdr:colOff>
      <xdr:row>50</xdr:row>
      <xdr:rowOff>99786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C320277-1F0B-4801-AAEA-E7CABD7A8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81640</xdr:colOff>
      <xdr:row>51</xdr:row>
      <xdr:rowOff>86632</xdr:rowOff>
    </xdr:from>
    <xdr:to>
      <xdr:col>27</xdr:col>
      <xdr:colOff>163285</xdr:colOff>
      <xdr:row>65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1966EA-0C8D-4ECD-8147-6E920DF78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283479</xdr:colOff>
      <xdr:row>51</xdr:row>
      <xdr:rowOff>104775</xdr:rowOff>
    </xdr:from>
    <xdr:to>
      <xdr:col>35</xdr:col>
      <xdr:colOff>492124</xdr:colOff>
      <xdr:row>65</xdr:row>
      <xdr:rowOff>122010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872BDE-C86D-47D4-B5E9-E3E0021BC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313419</xdr:colOff>
      <xdr:row>80</xdr:row>
      <xdr:rowOff>92982</xdr:rowOff>
    </xdr:from>
    <xdr:to>
      <xdr:col>35</xdr:col>
      <xdr:colOff>508000</xdr:colOff>
      <xdr:row>94</xdr:row>
      <xdr:rowOff>34471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B9BD8A5-B4B9-4B42-AE67-6B3ACEF1D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290285</xdr:colOff>
      <xdr:row>66</xdr:row>
      <xdr:rowOff>79376</xdr:rowOff>
    </xdr:from>
    <xdr:to>
      <xdr:col>35</xdr:col>
      <xdr:colOff>492124</xdr:colOff>
      <xdr:row>79</xdr:row>
      <xdr:rowOff>127001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CAE0394-7929-4EAC-B466-EFD1FF29B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290285</xdr:colOff>
      <xdr:row>22</xdr:row>
      <xdr:rowOff>15874</xdr:rowOff>
    </xdr:from>
    <xdr:to>
      <xdr:col>33</xdr:col>
      <xdr:colOff>378733</xdr:colOff>
      <xdr:row>36</xdr:row>
      <xdr:rowOff>51253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F6132429-D74C-48B7-BA83-02F5D9FD0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244928</xdr:colOff>
      <xdr:row>36</xdr:row>
      <xdr:rowOff>106589</xdr:rowOff>
    </xdr:from>
    <xdr:to>
      <xdr:col>33</xdr:col>
      <xdr:colOff>381000</xdr:colOff>
      <xdr:row>50</xdr:row>
      <xdr:rowOff>79375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828D7D5-21B8-4F26-BA56-47B0B5FE2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444053</xdr:colOff>
      <xdr:row>26</xdr:row>
      <xdr:rowOff>63857</xdr:rowOff>
    </xdr:from>
    <xdr:to>
      <xdr:col>16</xdr:col>
      <xdr:colOff>280384</xdr:colOff>
      <xdr:row>40</xdr:row>
      <xdr:rowOff>150789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897B76-3C06-47C7-8E2E-216C733C1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470884</xdr:colOff>
      <xdr:row>42</xdr:row>
      <xdr:rowOff>37027</xdr:rowOff>
    </xdr:from>
    <xdr:to>
      <xdr:col>16</xdr:col>
      <xdr:colOff>307215</xdr:colOff>
      <xdr:row>56</xdr:row>
      <xdr:rowOff>123959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FE99071-0CB7-4832-B09B-AB379F36E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524546</xdr:colOff>
      <xdr:row>57</xdr:row>
      <xdr:rowOff>90689</xdr:rowOff>
    </xdr:from>
    <xdr:to>
      <xdr:col>16</xdr:col>
      <xdr:colOff>360877</xdr:colOff>
      <xdr:row>71</xdr:row>
      <xdr:rowOff>177621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8C7510-1BEF-4137-A451-19EAF8E31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295275</xdr:colOff>
      <xdr:row>0</xdr:row>
      <xdr:rowOff>138112</xdr:rowOff>
    </xdr:from>
    <xdr:to>
      <xdr:col>28</xdr:col>
      <xdr:colOff>465536</xdr:colOff>
      <xdr:row>9</xdr:row>
      <xdr:rowOff>134735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BCB341-83E7-46B1-9A51-AB00C660E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8213" y="138112"/>
          <a:ext cx="9623823" cy="1666673"/>
        </a:xfrm>
        <a:prstGeom prst="rect">
          <a:avLst/>
        </a:prstGeom>
      </xdr:spPr>
    </xdr:pic>
    <xdr:clientData/>
  </xdr:twoCellAnchor>
  <xdr:twoCellAnchor editAs="oneCell">
    <xdr:from>
      <xdr:col>28</xdr:col>
      <xdr:colOff>404813</xdr:colOff>
      <xdr:row>0</xdr:row>
      <xdr:rowOff>138113</xdr:rowOff>
    </xdr:from>
    <xdr:to>
      <xdr:col>36</xdr:col>
      <xdr:colOff>370869</xdr:colOff>
      <xdr:row>9</xdr:row>
      <xdr:rowOff>10926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46227-1E19-4E86-8DDE-3F057EEB3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121313" y="138113"/>
          <a:ext cx="4919056" cy="1542863"/>
        </a:xfrm>
        <a:prstGeom prst="rect">
          <a:avLst/>
        </a:prstGeom>
      </xdr:spPr>
    </xdr:pic>
    <xdr:clientData/>
  </xdr:twoCellAnchor>
  <xdr:twoCellAnchor editAs="oneCell">
    <xdr:from>
      <xdr:col>16</xdr:col>
      <xdr:colOff>309564</xdr:colOff>
      <xdr:row>10</xdr:row>
      <xdr:rowOff>161924</xdr:rowOff>
    </xdr:from>
    <xdr:to>
      <xdr:col>31</xdr:col>
      <xdr:colOff>256021</xdr:colOff>
      <xdr:row>49</xdr:row>
      <xdr:rowOff>123040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30C124-9F7F-4EBB-BE75-B9A348D43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01314" y="1995487"/>
          <a:ext cx="9328582" cy="6461928"/>
        </a:xfrm>
        <a:prstGeom prst="rect">
          <a:avLst/>
        </a:prstGeom>
      </xdr:spPr>
    </xdr:pic>
    <xdr:clientData/>
  </xdr:twoCellAnchor>
  <xdr:twoCellAnchor editAs="oneCell">
    <xdr:from>
      <xdr:col>16</xdr:col>
      <xdr:colOff>504825</xdr:colOff>
      <xdr:row>50</xdr:row>
      <xdr:rowOff>128587</xdr:rowOff>
    </xdr:from>
    <xdr:to>
      <xdr:col>31</xdr:col>
      <xdr:colOff>17953</xdr:colOff>
      <xdr:row>90</xdr:row>
      <xdr:rowOff>103967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0F304C-7492-4359-BD1E-14BEF1001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96575" y="8629650"/>
          <a:ext cx="8895253" cy="66428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133351</xdr:colOff>
      <xdr:row>3</xdr:row>
      <xdr:rowOff>0</xdr:rowOff>
    </xdr:from>
    <xdr:to>
      <xdr:col>20</xdr:col>
      <xdr:colOff>592138</xdr:colOff>
      <xdr:row>18</xdr:row>
      <xdr:rowOff>33337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B4D37E-D6B3-44FB-9D94-4476D969BDBC}"/>
            </a:ext>
          </a:extLst>
        </xdr:cNvPr>
        <xdr:cNvSpPr txBox="1"/>
      </xdr:nvSpPr>
      <xdr:spPr>
        <a:xfrm>
          <a:off x="4600576" y="495300"/>
          <a:ext cx="8755062" cy="25098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is-I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is-IS" sz="10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Aðferðafræðin sem er notuð til að skilgreina eigin virðiskeðju og mengunarþætti hennar byggist á The Greenhouse Gas Protocol.</a:t>
          </a:r>
        </a:p>
        <a:p>
          <a:endParaRPr lang="is-I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is-IS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Umfang 1 </a:t>
          </a:r>
          <a:r>
            <a:rPr lang="is-I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tekur til beinnar losunar frá samgöngum, meðhöndlun úrgangs, landnotkun, búfjárræktun, efnanotkunar og iðnaðar. </a:t>
          </a:r>
        </a:p>
        <a:p>
          <a:r>
            <a:rPr lang="is-IS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Umfang 2 </a:t>
          </a:r>
          <a:r>
            <a:rPr lang="is-I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tekur til óbeinnar losunar þeirrar orku sem notuð er innan borgarmarka.</a:t>
          </a:r>
        </a:p>
        <a:p>
          <a:r>
            <a:rPr lang="is-IS" sz="1000" b="0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Umfang 3 </a:t>
          </a:r>
          <a:r>
            <a:rPr lang="is-IS" sz="1000" b="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er öll önnur óbein losun sem á sér stað utan borgarmarka vegna starfsemi innan hennar, til dæmis vegna vara og þjónustu til borgarinnar.</a:t>
          </a:r>
          <a:endParaRPr lang="is-I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is-IS" sz="1000" b="0" i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tjornarradid.is/verkefni/atvinnuvegir/landbunadur/maelabord-landbunadarins-/" TargetMode="External"/><Relationship Id="rId1" Type="http://schemas.openxmlformats.org/officeDocument/2006/relationships/hyperlink" Target="https://www.veitur.is/utgefid-efni/hitaveita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samgongustofa.is/umferd/tolfraedi/onnur-tolfraedi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amgongustofa.is/umferd/tolfraedi/onnur-tolfraedi/" TargetMode="External"/><Relationship Id="rId1" Type="http://schemas.openxmlformats.org/officeDocument/2006/relationships/hyperlink" Target="https://www.samgongustofa.is/umferd/tolfraedi/onnur-tolfraedi/" TargetMode="External"/><Relationship Id="rId4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faxafloahafnir.is/cruiseships/index.php?pid=1&amp;w=v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90FF8-3441-4D44-B52C-F2E13C087FD8}">
  <dimension ref="A1:V74"/>
  <sheetViews>
    <sheetView topLeftCell="A37" workbookViewId="0">
      <selection activeCell="H17" sqref="H17"/>
    </sheetView>
  </sheetViews>
  <sheetFormatPr defaultRowHeight="13" x14ac:dyDescent="0.6"/>
  <cols>
    <col min="1" max="1" width="34.7265625" customWidth="1"/>
    <col min="11" max="11" width="11.1328125" bestFit="1" customWidth="1"/>
  </cols>
  <sheetData>
    <row r="1" spans="1:22" s="33" customFormat="1" ht="23.5" x14ac:dyDescent="0.6">
      <c r="A1" s="10" t="s">
        <v>2</v>
      </c>
      <c r="B1" s="8"/>
      <c r="C1" s="9"/>
      <c r="D1" s="9"/>
      <c r="E1" s="9"/>
      <c r="F1" s="9"/>
      <c r="G1" s="9"/>
      <c r="H1" s="9"/>
    </row>
    <row r="2" spans="1:22" s="33" customFormat="1" ht="23.5" x14ac:dyDescent="0.6">
      <c r="A2" s="10"/>
      <c r="B2" s="8"/>
      <c r="C2" s="9"/>
      <c r="D2" s="9"/>
      <c r="E2" s="9"/>
      <c r="F2" s="9"/>
      <c r="G2" s="9"/>
      <c r="H2" s="9"/>
    </row>
    <row r="3" spans="1:22" s="33" customFormat="1" ht="15" customHeight="1" x14ac:dyDescent="0.6">
      <c r="A3" s="6" t="s">
        <v>33</v>
      </c>
      <c r="B3" s="4" t="s">
        <v>0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</row>
    <row r="4" spans="1:22" s="33" customFormat="1" ht="15" customHeight="1" x14ac:dyDescent="0.65">
      <c r="A4" s="39" t="s">
        <v>21</v>
      </c>
      <c r="B4" s="39" t="s">
        <v>4</v>
      </c>
      <c r="C4" s="36">
        <f>SUM(C5:C8)</f>
        <v>4763990.67673383</v>
      </c>
      <c r="D4" s="36">
        <f>SUM(D5:D8)</f>
        <v>4716621.3359553115</v>
      </c>
      <c r="E4" s="36">
        <f>SUM(E5:E8)</f>
        <v>4795414.4242398413</v>
      </c>
      <c r="F4" s="36">
        <f>SUM(F5:F8)</f>
        <v>4822179.6107744761</v>
      </c>
      <c r="G4" s="36">
        <f>SUM(G5:G8)</f>
        <v>4722345.8912667092</v>
      </c>
      <c r="H4" s="27"/>
      <c r="J4" s="33" t="s">
        <v>34</v>
      </c>
      <c r="L4" s="37"/>
      <c r="M4" s="37"/>
      <c r="N4" s="37"/>
      <c r="O4" s="37"/>
      <c r="P4" s="37"/>
      <c r="Q4" s="35"/>
    </row>
    <row r="5" spans="1:22" s="33" customFormat="1" ht="15" customHeight="1" x14ac:dyDescent="0.65">
      <c r="A5" s="36" t="s">
        <v>28</v>
      </c>
      <c r="B5" s="39" t="s">
        <v>4</v>
      </c>
      <c r="C5" s="36">
        <v>1852173.2603319914</v>
      </c>
      <c r="D5" s="36">
        <v>1827497.9452542874</v>
      </c>
      <c r="E5" s="36">
        <v>1870516.2136826504</v>
      </c>
      <c r="F5" s="36">
        <v>1912881.1387623274</v>
      </c>
      <c r="G5" s="36">
        <v>1854913.2341564749</v>
      </c>
      <c r="H5" s="27"/>
      <c r="L5" s="37"/>
      <c r="M5" s="37"/>
      <c r="N5" s="37"/>
      <c r="O5" s="37"/>
      <c r="P5" s="37"/>
      <c r="Q5" s="35"/>
    </row>
    <row r="6" spans="1:22" s="33" customFormat="1" ht="15" customHeight="1" x14ac:dyDescent="0.65">
      <c r="A6" s="36" t="s">
        <v>30</v>
      </c>
      <c r="B6" s="39" t="s">
        <v>4</v>
      </c>
      <c r="C6" s="36">
        <v>1998359.9071267762</v>
      </c>
      <c r="D6" s="36">
        <v>1986578.5495812562</v>
      </c>
      <c r="E6" s="36">
        <v>2024053.8991116346</v>
      </c>
      <c r="F6" s="36">
        <v>2022534.9274018391</v>
      </c>
      <c r="G6" s="36">
        <v>2024369.7415438371</v>
      </c>
      <c r="H6" s="27"/>
      <c r="L6" s="37"/>
      <c r="M6" s="37"/>
      <c r="N6" s="37"/>
      <c r="O6" s="37"/>
      <c r="P6" s="37"/>
      <c r="Q6" s="35"/>
    </row>
    <row r="7" spans="1:22" s="33" customFormat="1" ht="15" customHeight="1" x14ac:dyDescent="0.65">
      <c r="A7" s="36" t="s">
        <v>31</v>
      </c>
      <c r="B7" s="39" t="s">
        <v>4</v>
      </c>
      <c r="C7" s="36">
        <v>652566.7699157265</v>
      </c>
      <c r="D7" s="36">
        <v>654297.80497823202</v>
      </c>
      <c r="E7" s="36">
        <v>655941.5185512543</v>
      </c>
      <c r="F7" s="36">
        <v>631905.28155984322</v>
      </c>
      <c r="G7" s="36">
        <v>618847.81243340939</v>
      </c>
      <c r="H7" s="28"/>
      <c r="L7" s="37"/>
      <c r="M7" s="37"/>
      <c r="N7" s="37"/>
      <c r="O7" s="37"/>
      <c r="P7" s="37"/>
      <c r="Q7" s="35"/>
    </row>
    <row r="8" spans="1:22" s="33" customFormat="1" ht="15" customHeight="1" x14ac:dyDescent="0.6">
      <c r="A8" s="36" t="s">
        <v>32</v>
      </c>
      <c r="B8" s="39" t="s">
        <v>4</v>
      </c>
      <c r="C8" s="36">
        <v>260890.73935933571</v>
      </c>
      <c r="D8" s="36">
        <v>248247.03614153631</v>
      </c>
      <c r="E8" s="36">
        <v>244902.79289430167</v>
      </c>
      <c r="F8" s="36">
        <v>254858.26305046614</v>
      </c>
      <c r="G8" s="36">
        <v>224215.10313298742</v>
      </c>
      <c r="H8" s="29"/>
    </row>
    <row r="9" spans="1:22" ht="15" customHeight="1" x14ac:dyDescent="0.6"/>
    <row r="10" spans="1:22" s="33" customFormat="1" ht="15" customHeight="1" x14ac:dyDescent="0.6">
      <c r="A10" s="6" t="s">
        <v>28</v>
      </c>
      <c r="B10" s="4" t="s">
        <v>0</v>
      </c>
      <c r="C10" s="5">
        <v>2015</v>
      </c>
      <c r="D10" s="5">
        <v>2016</v>
      </c>
      <c r="E10" s="5">
        <v>2017</v>
      </c>
      <c r="F10" s="5">
        <v>2018</v>
      </c>
      <c r="G10" s="5">
        <v>2019</v>
      </c>
      <c r="H10" s="5">
        <v>2020</v>
      </c>
    </row>
    <row r="11" spans="1:22" s="33" customFormat="1" ht="15" customHeight="1" x14ac:dyDescent="0.65">
      <c r="A11" s="39" t="s">
        <v>21</v>
      </c>
      <c r="B11" s="39" t="s">
        <v>4</v>
      </c>
      <c r="C11" s="36">
        <f>SUM(C12:C19)</f>
        <v>1852173.2603319916</v>
      </c>
      <c r="D11" s="36">
        <f>SUM(D12:D19)</f>
        <v>1827497.9452542877</v>
      </c>
      <c r="E11" s="36">
        <f>SUM(E12:E19)</f>
        <v>1870516.2136826506</v>
      </c>
      <c r="F11" s="36">
        <f>SUM(F12:F19)</f>
        <v>1912881.1387623276</v>
      </c>
      <c r="G11" s="36">
        <f>SUM(G12:G19)</f>
        <v>1854913.2341564752</v>
      </c>
      <c r="H11" s="27"/>
      <c r="J11" s="33" t="s">
        <v>34</v>
      </c>
      <c r="L11" s="37"/>
      <c r="M11" s="37"/>
      <c r="N11" s="37"/>
      <c r="O11" s="37"/>
      <c r="P11" s="37"/>
      <c r="Q11" s="35"/>
    </row>
    <row r="12" spans="1:22" s="33" customFormat="1" ht="15" customHeight="1" x14ac:dyDescent="0.65">
      <c r="A12" s="38" t="s">
        <v>35</v>
      </c>
      <c r="B12" s="39" t="s">
        <v>4</v>
      </c>
      <c r="C12" s="36">
        <v>624190.13463029347</v>
      </c>
      <c r="D12" s="36">
        <v>521497.72702248802</v>
      </c>
      <c r="E12" s="36">
        <v>534065.72982284508</v>
      </c>
      <c r="F12" s="36">
        <v>551731.62428879994</v>
      </c>
      <c r="G12" s="36">
        <v>522179.89003508026</v>
      </c>
      <c r="H12" s="27"/>
      <c r="K12" s="35">
        <v>1824</v>
      </c>
      <c r="L12" s="37">
        <v>1793</v>
      </c>
      <c r="M12" s="37">
        <v>1837</v>
      </c>
      <c r="N12" s="37">
        <v>1877</v>
      </c>
      <c r="O12" s="37">
        <v>1817</v>
      </c>
      <c r="P12" s="37"/>
      <c r="Q12" s="35"/>
    </row>
    <row r="13" spans="1:22" s="33" customFormat="1" ht="15" customHeight="1" x14ac:dyDescent="0.65">
      <c r="A13" s="38" t="s">
        <v>36</v>
      </c>
      <c r="B13" s="39" t="s">
        <v>4</v>
      </c>
      <c r="C13" s="36">
        <v>820387.12813915114</v>
      </c>
      <c r="D13" s="36">
        <v>895309.07609811472</v>
      </c>
      <c r="E13" s="36">
        <v>945294.05658036924</v>
      </c>
      <c r="F13" s="36">
        <v>971426.24849384336</v>
      </c>
      <c r="G13" s="36">
        <v>951992.76835349039</v>
      </c>
      <c r="H13" s="27"/>
      <c r="K13" s="36">
        <f>(K12*1000)-C12-C13-C16-C18</f>
        <v>94153.99453122195</v>
      </c>
      <c r="L13" s="36">
        <f>(L12*1000)-D12-D13-D16-D18</f>
        <v>87123.448674195883</v>
      </c>
      <c r="M13" s="36">
        <f>(M12*1000)-E12-E13-E16-E18</f>
        <v>67785.244001684681</v>
      </c>
      <c r="N13" s="36">
        <f>(N12*1000)-F12-F13-F16-F18</f>
        <v>82518.607092431281</v>
      </c>
      <c r="O13" s="36">
        <f>(O12*1000)-G12-G13-G16-G18</f>
        <v>87982.576993251976</v>
      </c>
      <c r="P13" s="37"/>
      <c r="Q13" s="35"/>
    </row>
    <row r="14" spans="1:22" s="33" customFormat="1" ht="15" customHeight="1" x14ac:dyDescent="0.65">
      <c r="A14" s="40" t="s">
        <v>37</v>
      </c>
      <c r="B14" s="39" t="s">
        <v>4</v>
      </c>
      <c r="C14" s="36">
        <v>20615.904741416667</v>
      </c>
      <c r="D14" s="36">
        <v>22766.787739216667</v>
      </c>
      <c r="E14" s="36">
        <v>23154.047704150002</v>
      </c>
      <c r="F14" s="36">
        <v>24792.599279666669</v>
      </c>
      <c r="G14" s="36">
        <v>27992.335099027729</v>
      </c>
      <c r="H14" s="28"/>
      <c r="P14" s="37"/>
    </row>
    <row r="15" spans="1:22" s="33" customFormat="1" ht="15" customHeight="1" x14ac:dyDescent="0.65">
      <c r="A15" s="36" t="s">
        <v>38</v>
      </c>
      <c r="B15" s="39" t="s">
        <v>4</v>
      </c>
      <c r="C15" s="36">
        <v>26795.179173066663</v>
      </c>
      <c r="D15" s="36">
        <v>27989.207723400003</v>
      </c>
      <c r="E15" s="36">
        <v>31916.375174516532</v>
      </c>
      <c r="F15" s="36">
        <v>43775.5505596</v>
      </c>
      <c r="G15" s="36">
        <v>53539.299770753183</v>
      </c>
      <c r="H15" s="29"/>
      <c r="J15" s="41"/>
      <c r="K15" s="37"/>
      <c r="L15" s="37"/>
      <c r="M15" s="37"/>
      <c r="N15" s="37"/>
      <c r="O15" s="37"/>
      <c r="P15" s="35"/>
    </row>
    <row r="16" spans="1:22" ht="15" customHeight="1" x14ac:dyDescent="0.65">
      <c r="A16" s="38" t="s">
        <v>39</v>
      </c>
      <c r="B16" s="39" t="s">
        <v>4</v>
      </c>
      <c r="C16" s="36">
        <v>118189.24269933332</v>
      </c>
      <c r="D16" s="36">
        <v>137265.13989979564</v>
      </c>
      <c r="E16" s="36">
        <v>140755.96959510088</v>
      </c>
      <c r="F16" s="36">
        <v>112341.52012492543</v>
      </c>
      <c r="G16" s="36">
        <v>88603.151099229246</v>
      </c>
      <c r="H16" s="29"/>
      <c r="J16" s="35"/>
      <c r="K16" s="37">
        <f>G12+G15</f>
        <v>575719.18980583339</v>
      </c>
      <c r="L16" s="37"/>
      <c r="M16" s="37"/>
      <c r="N16" s="37"/>
      <c r="O16" s="37"/>
      <c r="P16" s="35"/>
      <c r="Q16" s="33"/>
      <c r="R16" s="33"/>
      <c r="S16" s="33"/>
      <c r="T16" s="33"/>
      <c r="U16" s="33"/>
      <c r="V16" s="33"/>
    </row>
    <row r="17" spans="1:22" ht="15" customHeight="1" x14ac:dyDescent="0.65">
      <c r="A17" s="36" t="s">
        <v>40</v>
      </c>
      <c r="B17" s="39" t="s">
        <v>4</v>
      </c>
      <c r="C17" s="36">
        <v>66078.679095417174</v>
      </c>
      <c r="D17" s="36">
        <v>62549.16775127103</v>
      </c>
      <c r="E17" s="36">
        <v>33581.209616268323</v>
      </c>
      <c r="F17" s="36">
        <v>40300.868612269565</v>
      </c>
      <c r="G17" s="36">
        <v>33677.665180739379</v>
      </c>
      <c r="H17" s="29"/>
      <c r="J17" s="35"/>
      <c r="K17" s="37">
        <f>SUM(G14:G17)+G19-G15</f>
        <v>160959.66247820298</v>
      </c>
      <c r="L17" s="37"/>
      <c r="M17" s="37"/>
      <c r="N17" s="37"/>
      <c r="O17" s="37"/>
      <c r="P17" s="35"/>
      <c r="Q17" s="33"/>
      <c r="R17" s="33"/>
      <c r="S17" s="33"/>
      <c r="T17" s="33"/>
      <c r="U17" s="33"/>
      <c r="V17" s="33"/>
    </row>
    <row r="18" spans="1:22" ht="15" customHeight="1" x14ac:dyDescent="0.65">
      <c r="A18" s="38" t="s">
        <v>41</v>
      </c>
      <c r="B18" s="39" t="s">
        <v>4</v>
      </c>
      <c r="C18" s="36">
        <v>167079.5</v>
      </c>
      <c r="D18" s="36">
        <v>151804.60830540562</v>
      </c>
      <c r="E18" s="36">
        <v>149099</v>
      </c>
      <c r="F18" s="36">
        <v>158982</v>
      </c>
      <c r="G18" s="36">
        <v>166241.61351894814</v>
      </c>
      <c r="H18" s="29"/>
      <c r="J18" s="35"/>
      <c r="K18" s="37"/>
      <c r="L18" s="37"/>
      <c r="M18" s="37"/>
      <c r="N18" s="37"/>
      <c r="O18" s="37"/>
      <c r="P18" s="35"/>
      <c r="Q18" s="33"/>
      <c r="R18" s="33"/>
      <c r="S18" s="33"/>
      <c r="T18" s="33"/>
      <c r="U18" s="33"/>
      <c r="V18" s="33"/>
    </row>
    <row r="19" spans="1:22" ht="15" customHeight="1" x14ac:dyDescent="0.65">
      <c r="A19" s="36" t="s">
        <v>42</v>
      </c>
      <c r="B19" s="39" t="s">
        <v>4</v>
      </c>
      <c r="C19" s="36">
        <v>8837.4918533129403</v>
      </c>
      <c r="D19" s="36">
        <v>8316.2307145958039</v>
      </c>
      <c r="E19" s="36">
        <v>12649.825189400417</v>
      </c>
      <c r="F19" s="36">
        <v>9530.7274032222722</v>
      </c>
      <c r="G19" s="36">
        <v>10686.511099206655</v>
      </c>
      <c r="H19" s="29"/>
      <c r="J19" s="35"/>
      <c r="K19" s="37"/>
      <c r="L19" s="37"/>
      <c r="M19" s="37"/>
      <c r="N19" s="37"/>
      <c r="O19" s="37"/>
      <c r="P19" s="35"/>
      <c r="Q19" s="33"/>
      <c r="R19" s="33"/>
      <c r="S19" s="33"/>
      <c r="T19" s="33"/>
      <c r="U19" s="33"/>
      <c r="V19" s="33"/>
    </row>
    <row r="20" spans="1:22" s="33" customFormat="1" ht="15" customHeight="1" x14ac:dyDescent="0.65">
      <c r="A20" s="36"/>
      <c r="B20" s="39"/>
      <c r="C20" s="36"/>
      <c r="D20" s="36"/>
      <c r="E20" s="36"/>
      <c r="F20" s="36"/>
      <c r="G20" s="36"/>
      <c r="H20" s="29"/>
      <c r="J20" s="35"/>
      <c r="K20" s="37"/>
      <c r="L20" s="37"/>
      <c r="M20" s="37"/>
      <c r="N20" s="37"/>
      <c r="O20" s="37"/>
      <c r="P20" s="35"/>
    </row>
    <row r="21" spans="1:22" s="33" customFormat="1" ht="24.75" customHeight="1" x14ac:dyDescent="0.6">
      <c r="A21" s="6" t="s">
        <v>53</v>
      </c>
      <c r="B21" s="4" t="s">
        <v>0</v>
      </c>
      <c r="C21" s="5">
        <v>2015</v>
      </c>
      <c r="D21" s="5">
        <v>2016</v>
      </c>
      <c r="E21" s="5">
        <v>2017</v>
      </c>
      <c r="F21" s="5">
        <v>2018</v>
      </c>
      <c r="G21" s="5">
        <v>2019</v>
      </c>
      <c r="H21" s="5">
        <v>2020</v>
      </c>
    </row>
    <row r="22" spans="1:22" s="33" customFormat="1" ht="15" customHeight="1" x14ac:dyDescent="0.65">
      <c r="A22" s="39" t="s">
        <v>21</v>
      </c>
      <c r="B22" s="39" t="s">
        <v>4</v>
      </c>
      <c r="C22" s="36">
        <f>SUM(C23:C25)</f>
        <v>4763990.6767338291</v>
      </c>
      <c r="D22" s="36">
        <f>SUM(D23:D25)</f>
        <v>4716621.3359553125</v>
      </c>
      <c r="E22" s="36">
        <f>SUM(E23:E25)</f>
        <v>4795414.4242398404</v>
      </c>
      <c r="F22" s="36">
        <f>SUM(F23:F25)</f>
        <v>4822179.6107744761</v>
      </c>
      <c r="G22" s="36">
        <f>SUM(G23:G25)</f>
        <v>4722345.8912667092</v>
      </c>
      <c r="H22" s="27"/>
      <c r="J22" s="33" t="s">
        <v>34</v>
      </c>
      <c r="L22" s="37"/>
      <c r="M22" s="37"/>
      <c r="N22" s="37"/>
      <c r="O22" s="37"/>
      <c r="P22" s="37"/>
    </row>
    <row r="23" spans="1:22" s="33" customFormat="1" ht="15" customHeight="1" x14ac:dyDescent="0.65">
      <c r="A23" s="36" t="s">
        <v>28</v>
      </c>
      <c r="B23" s="39" t="s">
        <v>4</v>
      </c>
      <c r="C23" s="36">
        <v>20441.658636666667</v>
      </c>
      <c r="D23" s="36">
        <v>22574.404196666666</v>
      </c>
      <c r="E23" s="36">
        <v>22958.457610000001</v>
      </c>
      <c r="F23" s="36">
        <v>24583.191306666668</v>
      </c>
      <c r="G23" s="36">
        <v>27755.915457878669</v>
      </c>
      <c r="H23" s="27"/>
      <c r="K23" s="33">
        <v>194</v>
      </c>
      <c r="L23" s="33">
        <v>218</v>
      </c>
      <c r="M23" s="33">
        <v>203</v>
      </c>
      <c r="N23" s="33">
        <v>180</v>
      </c>
      <c r="O23" s="33">
        <v>223</v>
      </c>
      <c r="P23" s="37"/>
    </row>
    <row r="24" spans="1:22" s="33" customFormat="1" ht="15" customHeight="1" x14ac:dyDescent="0.65">
      <c r="A24" s="36" t="s">
        <v>30</v>
      </c>
      <c r="B24" s="39" t="s">
        <v>4</v>
      </c>
      <c r="C24" s="36">
        <v>1812040.9400834837</v>
      </c>
      <c r="D24" s="36">
        <v>1780964.5254350891</v>
      </c>
      <c r="E24" s="36">
        <v>1831668.6219580765</v>
      </c>
      <c r="F24" s="36">
        <v>1854685.1967106909</v>
      </c>
      <c r="G24" s="36">
        <v>1812706.9999999998</v>
      </c>
      <c r="H24" s="27"/>
      <c r="K24" s="36">
        <f>(K23*1000)-C57</f>
        <v>14338.40394905844</v>
      </c>
      <c r="L24" s="36">
        <f>(L23*1000)-D57</f>
        <v>14118.638908066612</v>
      </c>
      <c r="M24" s="36">
        <f>(M23*1000)-E57</f>
        <v>14094.933872665104</v>
      </c>
      <c r="N24" s="36">
        <f>(N23*1000)-F57</f>
        <v>16501.028149503778</v>
      </c>
      <c r="O24" s="36">
        <f>(O23*1000)-G57</f>
        <v>15662.497691759374</v>
      </c>
      <c r="P24" s="37"/>
    </row>
    <row r="25" spans="1:22" s="33" customFormat="1" ht="15" customHeight="1" x14ac:dyDescent="0.65">
      <c r="A25" s="36" t="s">
        <v>31</v>
      </c>
      <c r="B25" s="39" t="s">
        <v>4</v>
      </c>
      <c r="C25" s="36">
        <v>2931508.0780136785</v>
      </c>
      <c r="D25" s="36">
        <v>2913082.4063235563</v>
      </c>
      <c r="E25" s="36">
        <v>2940787.3446717639</v>
      </c>
      <c r="F25" s="36">
        <v>2942911.2227571183</v>
      </c>
      <c r="G25" s="36">
        <v>2881882.9758088305</v>
      </c>
      <c r="H25" s="28"/>
      <c r="L25" s="37"/>
      <c r="M25" s="37"/>
      <c r="N25" s="37"/>
      <c r="O25" s="37"/>
      <c r="P25" s="37"/>
    </row>
    <row r="26" spans="1:22" ht="15" customHeight="1" x14ac:dyDescent="0.65">
      <c r="J26" s="35"/>
      <c r="K26" s="37"/>
      <c r="L26" s="37"/>
      <c r="M26" s="37"/>
      <c r="N26" s="37"/>
      <c r="O26" s="37"/>
      <c r="P26" s="35"/>
    </row>
    <row r="27" spans="1:22" s="33" customFormat="1" ht="15" customHeight="1" x14ac:dyDescent="0.6">
      <c r="A27" s="6" t="s">
        <v>29</v>
      </c>
      <c r="B27" s="4" t="s">
        <v>0</v>
      </c>
      <c r="C27" s="5">
        <v>2015</v>
      </c>
      <c r="D27" s="5">
        <v>2016</v>
      </c>
      <c r="E27" s="5">
        <v>2017</v>
      </c>
      <c r="F27" s="5">
        <v>2018</v>
      </c>
      <c r="G27" s="5">
        <v>2019</v>
      </c>
      <c r="H27" s="5">
        <v>2020</v>
      </c>
    </row>
    <row r="28" spans="1:22" s="33" customFormat="1" ht="15" customHeight="1" x14ac:dyDescent="0.65">
      <c r="A28" s="39" t="s">
        <v>21</v>
      </c>
      <c r="B28" s="39" t="s">
        <v>4</v>
      </c>
      <c r="C28" s="36">
        <f>SUM(C29:C34)</f>
        <v>1998359.9071267762</v>
      </c>
      <c r="D28" s="36">
        <f>SUM(D29:D34)</f>
        <v>1986578.5495812562</v>
      </c>
      <c r="E28" s="36">
        <f>SUM(E29:E34)</f>
        <v>2024053.8991116346</v>
      </c>
      <c r="F28" s="36">
        <f>SUM(F29:F34)</f>
        <v>2022534.9274018388</v>
      </c>
      <c r="G28" s="36">
        <f>SUM(G29:G34)</f>
        <v>2024369.7415438371</v>
      </c>
      <c r="H28" s="27"/>
      <c r="J28" s="33" t="s">
        <v>34</v>
      </c>
      <c r="L28" s="37"/>
      <c r="M28" s="37"/>
      <c r="N28" s="37"/>
      <c r="O28" s="37"/>
      <c r="P28" s="37"/>
      <c r="Q28" s="35"/>
    </row>
    <row r="29" spans="1:22" s="33" customFormat="1" ht="15" customHeight="1" x14ac:dyDescent="0.65">
      <c r="A29" s="36" t="s">
        <v>43</v>
      </c>
      <c r="B29" s="39" t="s">
        <v>4</v>
      </c>
      <c r="C29" s="36">
        <v>716.54013156000008</v>
      </c>
      <c r="D29" s="36">
        <v>773.97152472000005</v>
      </c>
      <c r="E29" s="36">
        <v>902.32273404000011</v>
      </c>
      <c r="F29" s="36">
        <v>905.21219079999992</v>
      </c>
      <c r="G29" s="36">
        <v>956.99099012000011</v>
      </c>
      <c r="H29" s="27"/>
      <c r="L29" s="37"/>
      <c r="M29" s="37"/>
      <c r="N29" s="37"/>
      <c r="O29" s="37"/>
      <c r="P29" s="37"/>
      <c r="Q29" s="35"/>
    </row>
    <row r="30" spans="1:22" s="33" customFormat="1" ht="15" customHeight="1" x14ac:dyDescent="0.65">
      <c r="A30" s="36" t="s">
        <v>44</v>
      </c>
      <c r="B30" s="39" t="s">
        <v>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27"/>
      <c r="J30" s="35"/>
      <c r="K30" s="37"/>
      <c r="L30" s="37"/>
      <c r="M30" s="37"/>
      <c r="N30" s="37"/>
      <c r="O30" s="37"/>
      <c r="P30" s="37"/>
      <c r="Q30" s="35"/>
    </row>
    <row r="31" spans="1:22" s="33" customFormat="1" ht="15" customHeight="1" x14ac:dyDescent="0.6">
      <c r="A31" s="36" t="s">
        <v>45</v>
      </c>
      <c r="B31" s="39" t="s">
        <v>4</v>
      </c>
      <c r="C31" s="36">
        <v>1807454.3303151615</v>
      </c>
      <c r="D31" s="36">
        <v>1772144.3406546167</v>
      </c>
      <c r="E31" s="36">
        <v>1823880.9574118794</v>
      </c>
      <c r="F31" s="36">
        <v>1845663.8814134931</v>
      </c>
      <c r="G31" s="36">
        <v>1805668.4014232741</v>
      </c>
      <c r="H31" s="28"/>
      <c r="J31" s="35"/>
      <c r="K31" s="35"/>
      <c r="L31" s="35"/>
      <c r="M31" s="35"/>
      <c r="N31" s="35"/>
      <c r="O31" s="35"/>
      <c r="P31" s="35"/>
      <c r="Q31" s="35"/>
    </row>
    <row r="32" spans="1:22" s="33" customFormat="1" ht="15" customHeight="1" x14ac:dyDescent="0.6">
      <c r="A32" s="36" t="s">
        <v>46</v>
      </c>
      <c r="B32" s="39" t="s">
        <v>4</v>
      </c>
      <c r="C32" s="36">
        <v>5673.5727014029844</v>
      </c>
      <c r="D32" s="36">
        <v>5757.3938904590332</v>
      </c>
      <c r="E32" s="36">
        <v>5574.7994899601972</v>
      </c>
      <c r="F32" s="36">
        <v>6195.7835853715542</v>
      </c>
      <c r="G32" s="36">
        <v>5552.8913043874636</v>
      </c>
      <c r="H32" s="29"/>
      <c r="K32" s="36">
        <f>F29+F32+F34</f>
        <v>13372.074137849555</v>
      </c>
      <c r="L32" s="36">
        <f>G29+G32+G34</f>
        <v>11363.837812322461</v>
      </c>
    </row>
    <row r="33" spans="1:17" s="33" customFormat="1" ht="15" customHeight="1" x14ac:dyDescent="0.6">
      <c r="A33" s="38" t="s">
        <v>47</v>
      </c>
      <c r="B33" s="39" t="s">
        <v>4</v>
      </c>
      <c r="C33" s="36">
        <v>179661.59605094156</v>
      </c>
      <c r="D33" s="36">
        <v>203881.36109193339</v>
      </c>
      <c r="E33" s="36">
        <v>188905.0661273349</v>
      </c>
      <c r="F33" s="36">
        <v>163498.97185049622</v>
      </c>
      <c r="G33" s="36">
        <v>207337.50230824063</v>
      </c>
      <c r="H33" s="29"/>
      <c r="K33" s="36"/>
    </row>
    <row r="34" spans="1:17" s="33" customFormat="1" ht="15" customHeight="1" x14ac:dyDescent="0.6">
      <c r="A34" s="36" t="s">
        <v>48</v>
      </c>
      <c r="B34" s="39" t="s">
        <v>4</v>
      </c>
      <c r="C34" s="36">
        <v>4853.8679277100009</v>
      </c>
      <c r="D34" s="36">
        <v>4021.4824195269994</v>
      </c>
      <c r="E34" s="36">
        <v>4790.7533484200003</v>
      </c>
      <c r="F34" s="36">
        <v>6271.078361678</v>
      </c>
      <c r="G34" s="36">
        <v>4853.9555178149985</v>
      </c>
      <c r="H34" s="29"/>
    </row>
    <row r="35" spans="1:17" ht="15" customHeight="1" x14ac:dyDescent="0.6">
      <c r="J35" s="33"/>
      <c r="K35" s="33"/>
      <c r="L35" s="33"/>
      <c r="M35" s="33"/>
      <c r="N35" s="33"/>
      <c r="O35" s="33"/>
      <c r="P35" s="33"/>
    </row>
    <row r="36" spans="1:17" s="33" customFormat="1" ht="15" customHeight="1" x14ac:dyDescent="0.6">
      <c r="A36" s="6" t="s">
        <v>31</v>
      </c>
      <c r="B36" s="4" t="s">
        <v>0</v>
      </c>
      <c r="C36" s="5">
        <v>2015</v>
      </c>
      <c r="D36" s="5">
        <v>2016</v>
      </c>
      <c r="E36" s="5">
        <v>2017</v>
      </c>
      <c r="F36" s="5">
        <v>2018</v>
      </c>
      <c r="G36" s="5">
        <v>2019</v>
      </c>
      <c r="H36" s="5">
        <v>2020</v>
      </c>
    </row>
    <row r="37" spans="1:17" s="33" customFormat="1" ht="15" customHeight="1" x14ac:dyDescent="0.65">
      <c r="A37" s="39" t="s">
        <v>21</v>
      </c>
      <c r="B37" s="39" t="s">
        <v>4</v>
      </c>
      <c r="C37" s="36">
        <f>SUM(C38:C41)</f>
        <v>652566.76991572639</v>
      </c>
      <c r="D37" s="36">
        <f>SUM(D38:D41)</f>
        <v>654297.80497823202</v>
      </c>
      <c r="E37" s="36">
        <f>SUM(E38:E41)</f>
        <v>655941.51855125418</v>
      </c>
      <c r="F37" s="36">
        <f>SUM(F38:F41)</f>
        <v>631905.28155984334</v>
      </c>
      <c r="G37" s="36">
        <f>SUM(G38:G41)</f>
        <v>618847.81243340939</v>
      </c>
      <c r="H37" s="27"/>
      <c r="J37" s="33" t="s">
        <v>34</v>
      </c>
      <c r="L37" s="37"/>
      <c r="M37" s="37"/>
      <c r="N37" s="37"/>
      <c r="O37" s="37"/>
      <c r="P37" s="37"/>
      <c r="Q37" s="35"/>
    </row>
    <row r="38" spans="1:17" s="33" customFormat="1" ht="15" customHeight="1" x14ac:dyDescent="0.65">
      <c r="A38" s="38" t="s">
        <v>49</v>
      </c>
      <c r="B38" s="39" t="s">
        <v>4</v>
      </c>
      <c r="C38" s="36">
        <v>313841.41674597241</v>
      </c>
      <c r="D38" s="36">
        <v>318061.82815993711</v>
      </c>
      <c r="E38" s="36">
        <v>311008.70553855988</v>
      </c>
      <c r="F38" s="36">
        <v>301140.44393239036</v>
      </c>
      <c r="G38" s="36">
        <v>296707.11455164751</v>
      </c>
      <c r="H38" s="27"/>
      <c r="L38" s="37"/>
      <c r="M38" s="37"/>
      <c r="N38" s="37"/>
      <c r="O38" s="37"/>
      <c r="P38" s="37"/>
      <c r="Q38" s="35"/>
    </row>
    <row r="39" spans="1:17" s="33" customFormat="1" ht="15" customHeight="1" x14ac:dyDescent="0.65">
      <c r="A39" s="36" t="s">
        <v>50</v>
      </c>
      <c r="B39" s="39" t="s">
        <v>4</v>
      </c>
      <c r="C39" s="36">
        <v>77802.528260834253</v>
      </c>
      <c r="D39" s="36">
        <v>79189.008316949286</v>
      </c>
      <c r="E39" s="36">
        <v>78158.248288984032</v>
      </c>
      <c r="F39" s="36">
        <v>75781.792948553033</v>
      </c>
      <c r="G39" s="36">
        <v>73985.76584036625</v>
      </c>
      <c r="H39" s="27"/>
      <c r="J39" s="35"/>
      <c r="K39" s="37"/>
      <c r="L39" s="37"/>
      <c r="M39" s="37"/>
      <c r="N39" s="37"/>
      <c r="O39" s="37"/>
      <c r="P39" s="37"/>
      <c r="Q39" s="35"/>
    </row>
    <row r="40" spans="1:17" s="33" customFormat="1" ht="15" customHeight="1" x14ac:dyDescent="0.6">
      <c r="A40" s="38" t="s">
        <v>51</v>
      </c>
      <c r="B40" s="39" t="s">
        <v>4</v>
      </c>
      <c r="C40" s="36">
        <v>257446.31120891974</v>
      </c>
      <c r="D40" s="36">
        <v>254138.0214346789</v>
      </c>
      <c r="E40" s="36">
        <v>264404.79512371024</v>
      </c>
      <c r="F40" s="36">
        <v>251788.71581223322</v>
      </c>
      <c r="G40" s="36">
        <v>242288.87697472898</v>
      </c>
      <c r="H40" s="28"/>
      <c r="J40" s="35"/>
      <c r="K40" s="41">
        <f>G41+G39</f>
        <v>79851.820907032918</v>
      </c>
      <c r="L40" s="35"/>
      <c r="M40" s="35"/>
      <c r="N40" s="35"/>
      <c r="O40" s="35"/>
      <c r="P40" s="35"/>
      <c r="Q40" s="35"/>
    </row>
    <row r="41" spans="1:17" s="33" customFormat="1" ht="15" customHeight="1" x14ac:dyDescent="0.6">
      <c r="A41" s="36" t="s">
        <v>52</v>
      </c>
      <c r="B41" s="39" t="s">
        <v>4</v>
      </c>
      <c r="C41" s="36">
        <v>3476.5137</v>
      </c>
      <c r="D41" s="36">
        <v>2908.9470666666662</v>
      </c>
      <c r="E41" s="36">
        <v>2369.7695999999996</v>
      </c>
      <c r="F41" s="36">
        <v>3194.3288666666658</v>
      </c>
      <c r="G41" s="36">
        <v>5866.0550666666659</v>
      </c>
      <c r="H41" s="29"/>
    </row>
    <row r="42" spans="1:17" ht="15" customHeight="1" x14ac:dyDescent="0.6">
      <c r="J42" s="33"/>
      <c r="K42" s="33"/>
      <c r="L42" s="33"/>
      <c r="M42" s="33"/>
      <c r="N42" s="33"/>
      <c r="O42" s="33"/>
      <c r="P42" s="33"/>
    </row>
    <row r="43" spans="1:17" s="33" customFormat="1" ht="15" customHeight="1" x14ac:dyDescent="0.6">
      <c r="A43" s="6" t="s">
        <v>32</v>
      </c>
      <c r="B43" s="4" t="s">
        <v>0</v>
      </c>
      <c r="C43" s="5">
        <v>2015</v>
      </c>
      <c r="D43" s="5">
        <v>2016</v>
      </c>
      <c r="E43" s="5">
        <v>2017</v>
      </c>
      <c r="F43" s="5">
        <v>2018</v>
      </c>
      <c r="G43" s="5">
        <v>2019</v>
      </c>
      <c r="H43" s="5">
        <v>2020</v>
      </c>
    </row>
    <row r="44" spans="1:17" s="33" customFormat="1" ht="15" customHeight="1" x14ac:dyDescent="0.65">
      <c r="A44" s="39" t="s">
        <v>21</v>
      </c>
      <c r="B44" s="39" t="s">
        <v>4</v>
      </c>
      <c r="C44" s="36">
        <f>SUM(C45:C48)</f>
        <v>260890.73935933568</v>
      </c>
      <c r="D44" s="36">
        <f>SUM(D45:D48)</f>
        <v>248247.03614153631</v>
      </c>
      <c r="E44" s="36">
        <f>SUM(E45:E48)</f>
        <v>244902.7928943017</v>
      </c>
      <c r="F44" s="36">
        <f>SUM(F45:F48)</f>
        <v>254858.26305046614</v>
      </c>
      <c r="G44" s="36">
        <f>SUM(G45:G48)</f>
        <v>224215.10313298739</v>
      </c>
      <c r="H44" s="27"/>
      <c r="J44" s="33" t="s">
        <v>34</v>
      </c>
      <c r="L44" s="37"/>
      <c r="M44" s="37"/>
      <c r="N44" s="37"/>
      <c r="O44" s="37"/>
      <c r="P44" s="37"/>
      <c r="Q44" s="35"/>
    </row>
    <row r="45" spans="1:17" s="33" customFormat="1" ht="15" customHeight="1" x14ac:dyDescent="0.65">
      <c r="A45" s="38" t="s">
        <v>54</v>
      </c>
      <c r="B45" s="39" t="s">
        <v>4</v>
      </c>
      <c r="C45" s="36">
        <v>200147.98023607081</v>
      </c>
      <c r="D45" s="36">
        <v>191971.50498230336</v>
      </c>
      <c r="E45" s="36">
        <v>184804.85083694773</v>
      </c>
      <c r="F45" s="36">
        <v>192831.75217185242</v>
      </c>
      <c r="G45" s="36">
        <v>162892.72538557593</v>
      </c>
      <c r="H45" s="27"/>
      <c r="L45" s="37"/>
      <c r="M45" s="37"/>
      <c r="N45" s="37"/>
      <c r="O45" s="37"/>
      <c r="P45" s="37"/>
      <c r="Q45" s="35"/>
    </row>
    <row r="46" spans="1:17" s="33" customFormat="1" ht="15" customHeight="1" x14ac:dyDescent="0.65">
      <c r="A46" s="36" t="s">
        <v>55</v>
      </c>
      <c r="B46" s="39" t="s">
        <v>4</v>
      </c>
      <c r="C46" s="36">
        <v>3653.6161280000006</v>
      </c>
      <c r="D46" s="36">
        <v>3912.2494208000003</v>
      </c>
      <c r="E46" s="36">
        <v>3722.8464025600006</v>
      </c>
      <c r="F46" s="36">
        <v>4117.4077516799998</v>
      </c>
      <c r="G46" s="36">
        <v>4093.3116101119999</v>
      </c>
      <c r="H46" s="27"/>
      <c r="J46" s="35"/>
      <c r="K46" s="37"/>
      <c r="L46" s="37"/>
      <c r="M46" s="37"/>
      <c r="N46" s="37"/>
      <c r="O46" s="37"/>
      <c r="P46" s="37"/>
      <c r="Q46" s="35"/>
    </row>
    <row r="47" spans="1:17" s="33" customFormat="1" ht="15" customHeight="1" x14ac:dyDescent="0.6">
      <c r="A47" s="36" t="s">
        <v>56</v>
      </c>
      <c r="B47" s="39" t="s">
        <v>4</v>
      </c>
      <c r="C47" s="36">
        <v>7099.5091363881338</v>
      </c>
      <c r="D47" s="36">
        <v>7426.8464206791741</v>
      </c>
      <c r="E47" s="36">
        <v>7798.7273868057064</v>
      </c>
      <c r="F47" s="36">
        <v>6825.7945909720975</v>
      </c>
      <c r="G47" s="36">
        <v>9374.0210721608019</v>
      </c>
      <c r="H47" s="28"/>
      <c r="J47" s="35"/>
      <c r="K47" s="35"/>
      <c r="L47" s="35"/>
      <c r="M47" s="35"/>
      <c r="N47" s="35"/>
      <c r="O47" s="35"/>
      <c r="P47" s="35"/>
      <c r="Q47" s="35"/>
    </row>
    <row r="48" spans="1:17" s="33" customFormat="1" ht="15" customHeight="1" x14ac:dyDescent="0.6">
      <c r="A48" s="36" t="s">
        <v>57</v>
      </c>
      <c r="B48" s="39" t="s">
        <v>4</v>
      </c>
      <c r="C48" s="36">
        <v>49989.633858876747</v>
      </c>
      <c r="D48" s="36">
        <v>44936.435317753763</v>
      </c>
      <c r="E48" s="36">
        <v>48576.368267988255</v>
      </c>
      <c r="F48" s="36">
        <v>51083.308535961609</v>
      </c>
      <c r="G48" s="36">
        <v>47855.045065138656</v>
      </c>
      <c r="H48" s="29"/>
    </row>
    <row r="49" spans="1:16" x14ac:dyDescent="0.6">
      <c r="J49" s="33"/>
      <c r="K49" s="33"/>
      <c r="L49" s="33"/>
      <c r="M49" s="33"/>
      <c r="N49" s="33"/>
      <c r="O49" s="33"/>
      <c r="P49" s="33"/>
    </row>
    <row r="50" spans="1:16" x14ac:dyDescent="0.6">
      <c r="A50" s="6" t="s">
        <v>58</v>
      </c>
      <c r="B50" s="4" t="s">
        <v>0</v>
      </c>
      <c r="C50" s="5">
        <v>2015</v>
      </c>
      <c r="D50" s="5">
        <v>2016</v>
      </c>
      <c r="E50" s="5">
        <v>2017</v>
      </c>
      <c r="F50" s="5">
        <v>2018</v>
      </c>
      <c r="G50" s="5">
        <v>2019</v>
      </c>
      <c r="H50" s="5">
        <v>2020</v>
      </c>
      <c r="J50" s="33"/>
      <c r="K50" s="33"/>
      <c r="L50" s="33"/>
      <c r="M50" s="33"/>
      <c r="N50" s="33"/>
      <c r="O50" s="33"/>
      <c r="P50" s="33"/>
    </row>
    <row r="51" spans="1:16" x14ac:dyDescent="0.6">
      <c r="A51" s="39" t="s">
        <v>21</v>
      </c>
      <c r="B51" s="39" t="s">
        <v>4</v>
      </c>
      <c r="C51" s="36">
        <f>SUM(C52:C62)</f>
        <v>2931457.509275062</v>
      </c>
      <c r="D51" s="36">
        <f>SUM(D52:D62)</f>
        <v>2913544.8411197681</v>
      </c>
      <c r="E51" s="36">
        <f>SUM(E52:E62)</f>
        <v>2940844.3114455556</v>
      </c>
      <c r="F51" s="36">
        <f>SUM(F52:F62)</f>
        <v>2943763.5446103099</v>
      </c>
      <c r="G51" s="36">
        <f>SUM(G52:G62)</f>
        <v>2883062.9155663969</v>
      </c>
      <c r="H51" s="27"/>
      <c r="J51" s="33"/>
      <c r="K51" s="33"/>
      <c r="L51" s="33"/>
      <c r="M51" s="33"/>
      <c r="N51" s="33"/>
      <c r="O51" s="33"/>
      <c r="P51" s="33"/>
    </row>
    <row r="52" spans="1:16" x14ac:dyDescent="0.6">
      <c r="A52" s="39" t="str">
        <f>A12</f>
        <v>Fiskiskip</v>
      </c>
      <c r="B52" s="39" t="s">
        <v>4</v>
      </c>
      <c r="C52" s="36">
        <f t="shared" ref="C52:G53" si="0">C12</f>
        <v>624190.13463029347</v>
      </c>
      <c r="D52" s="36">
        <f t="shared" si="0"/>
        <v>521497.72702248802</v>
      </c>
      <c r="E52" s="36">
        <f t="shared" si="0"/>
        <v>534065.72982284508</v>
      </c>
      <c r="F52" s="36">
        <f t="shared" si="0"/>
        <v>551731.62428879994</v>
      </c>
      <c r="G52" s="36">
        <f t="shared" si="0"/>
        <v>522179.89003508026</v>
      </c>
      <c r="H52" s="27"/>
      <c r="J52" s="33"/>
      <c r="K52" s="33"/>
      <c r="L52" s="33"/>
      <c r="M52" s="33"/>
      <c r="N52" s="33"/>
      <c r="O52" s="33"/>
      <c r="P52" s="33"/>
    </row>
    <row r="53" spans="1:16" x14ac:dyDescent="0.6">
      <c r="A53" s="39" t="str">
        <f>A13</f>
        <v>Vegasamgöngur</v>
      </c>
      <c r="B53" s="39" t="s">
        <v>4</v>
      </c>
      <c r="C53" s="36">
        <f t="shared" si="0"/>
        <v>820387.12813915114</v>
      </c>
      <c r="D53" s="36">
        <f t="shared" si="0"/>
        <v>895309.07609811472</v>
      </c>
      <c r="E53" s="36">
        <f t="shared" si="0"/>
        <v>945294.05658036924</v>
      </c>
      <c r="F53" s="36">
        <f t="shared" si="0"/>
        <v>971426.24849384336</v>
      </c>
      <c r="G53" s="36">
        <f t="shared" si="0"/>
        <v>951992.76835349039</v>
      </c>
      <c r="H53" s="27"/>
      <c r="J53" s="33"/>
      <c r="K53" s="33"/>
      <c r="L53" s="33"/>
      <c r="M53" s="33"/>
      <c r="N53" s="33"/>
      <c r="O53" s="33"/>
      <c r="P53" s="33"/>
    </row>
    <row r="54" spans="1:16" x14ac:dyDescent="0.6">
      <c r="A54" s="39" t="str">
        <f>A16</f>
        <v>Vélar og tæki</v>
      </c>
      <c r="B54" s="39" t="s">
        <v>4</v>
      </c>
      <c r="C54" s="36">
        <f>C16</f>
        <v>118189.24269933332</v>
      </c>
      <c r="D54" s="36">
        <f>D16</f>
        <v>137265.13989979564</v>
      </c>
      <c r="E54" s="36">
        <f>E16</f>
        <v>140755.96959510088</v>
      </c>
      <c r="F54" s="36">
        <f>F16</f>
        <v>112341.52012492543</v>
      </c>
      <c r="G54" s="36">
        <f>G16</f>
        <v>88603.151099229246</v>
      </c>
      <c r="H54" s="27"/>
      <c r="J54" s="33"/>
      <c r="K54" s="33"/>
      <c r="L54" s="33"/>
      <c r="M54" s="33"/>
      <c r="N54" s="33"/>
      <c r="O54" s="33"/>
      <c r="P54" s="33"/>
    </row>
    <row r="55" spans="1:16" x14ac:dyDescent="0.6">
      <c r="A55" s="39" t="str">
        <f>A18</f>
        <v>Jarðvarmavirkjanir</v>
      </c>
      <c r="B55" s="39" t="s">
        <v>4</v>
      </c>
      <c r="C55" s="36">
        <f>C18</f>
        <v>167079.5</v>
      </c>
      <c r="D55" s="36">
        <f>D18</f>
        <v>151804.60830540562</v>
      </c>
      <c r="E55" s="36">
        <f>E18</f>
        <v>149099</v>
      </c>
      <c r="F55" s="36">
        <f>F18</f>
        <v>158982</v>
      </c>
      <c r="G55" s="36">
        <f>G18</f>
        <v>166241.61351894814</v>
      </c>
      <c r="H55" s="27"/>
      <c r="J55" s="33"/>
      <c r="K55" s="33"/>
      <c r="L55" s="33"/>
      <c r="M55" s="33"/>
      <c r="N55" s="33"/>
      <c r="O55" s="33"/>
      <c r="P55" s="33"/>
    </row>
    <row r="56" spans="1:16" s="33" customFormat="1" x14ac:dyDescent="0.6">
      <c r="A56" s="39" t="s">
        <v>59</v>
      </c>
      <c r="B56" s="39" t="s">
        <v>4</v>
      </c>
      <c r="C56" s="36">
        <v>94153.99453122195</v>
      </c>
      <c r="D56" s="36">
        <v>87123.448674195883</v>
      </c>
      <c r="E56" s="36">
        <v>67785.244001684681</v>
      </c>
      <c r="F56" s="36">
        <v>82518.607092431281</v>
      </c>
      <c r="G56" s="36">
        <v>87982.576993251976</v>
      </c>
      <c r="H56" s="27"/>
    </row>
    <row r="57" spans="1:16" x14ac:dyDescent="0.6">
      <c r="A57" s="39" t="str">
        <f>A33</f>
        <v>F-gös (m.a. kælimiðlar)</v>
      </c>
      <c r="B57" s="39" t="s">
        <v>4</v>
      </c>
      <c r="C57" s="36">
        <f>C33</f>
        <v>179661.59605094156</v>
      </c>
      <c r="D57" s="36">
        <f>D33</f>
        <v>203881.36109193339</v>
      </c>
      <c r="E57" s="36">
        <f>E33</f>
        <v>188905.0661273349</v>
      </c>
      <c r="F57" s="36">
        <f>F33</f>
        <v>163498.97185049622</v>
      </c>
      <c r="G57" s="36">
        <f>G33</f>
        <v>207337.50230824063</v>
      </c>
      <c r="H57" s="27"/>
      <c r="J57" s="33"/>
      <c r="K57" s="33"/>
      <c r="L57" s="33"/>
      <c r="M57" s="33"/>
      <c r="N57" s="33"/>
      <c r="O57" s="33"/>
      <c r="P57" s="33"/>
    </row>
    <row r="58" spans="1:16" s="33" customFormat="1" x14ac:dyDescent="0.6">
      <c r="A58" s="39" t="s">
        <v>60</v>
      </c>
      <c r="B58" s="39" t="s">
        <v>4</v>
      </c>
      <c r="C58" s="36">
        <v>14338.40394905844</v>
      </c>
      <c r="D58" s="36">
        <v>14118.638908066612</v>
      </c>
      <c r="E58" s="36">
        <v>14094.933872665104</v>
      </c>
      <c r="F58" s="36">
        <v>16501.028149503778</v>
      </c>
      <c r="G58" s="36">
        <v>15662.497691759374</v>
      </c>
      <c r="H58" s="27"/>
    </row>
    <row r="59" spans="1:16" x14ac:dyDescent="0.6">
      <c r="A59" s="39" t="str">
        <f>A38</f>
        <v>Iðragerjun</v>
      </c>
      <c r="B59" s="39" t="s">
        <v>4</v>
      </c>
      <c r="C59" s="36">
        <f>C38</f>
        <v>313841.41674597241</v>
      </c>
      <c r="D59" s="36">
        <f>D38</f>
        <v>318061.82815993711</v>
      </c>
      <c r="E59" s="36">
        <f>E38</f>
        <v>311008.70553855988</v>
      </c>
      <c r="F59" s="36">
        <f>F38</f>
        <v>301140.44393239036</v>
      </c>
      <c r="G59" s="36">
        <f>G38</f>
        <v>296707.11455164751</v>
      </c>
      <c r="H59" s="27"/>
      <c r="J59" s="33"/>
      <c r="K59" s="33"/>
      <c r="L59" s="33"/>
      <c r="M59" s="33"/>
      <c r="N59" s="33"/>
      <c r="O59" s="33"/>
      <c r="P59" s="33"/>
    </row>
    <row r="60" spans="1:16" x14ac:dyDescent="0.6">
      <c r="A60" s="39" t="str">
        <f>A40</f>
        <v>Nytjajarðvegur</v>
      </c>
      <c r="B60" s="39" t="s">
        <v>4</v>
      </c>
      <c r="C60" s="36">
        <f>C40</f>
        <v>257446.31120891974</v>
      </c>
      <c r="D60" s="36">
        <f>D40</f>
        <v>254138.0214346789</v>
      </c>
      <c r="E60" s="36">
        <f>E40</f>
        <v>264404.79512371024</v>
      </c>
      <c r="F60" s="36">
        <f>F40</f>
        <v>251788.71581223322</v>
      </c>
      <c r="G60" s="36">
        <f>G40</f>
        <v>242288.87697472898</v>
      </c>
      <c r="H60" s="27"/>
      <c r="J60" s="33"/>
      <c r="K60" s="33"/>
      <c r="L60" s="33"/>
      <c r="M60" s="33"/>
      <c r="N60" s="33"/>
      <c r="O60" s="33"/>
      <c r="P60" s="33"/>
    </row>
    <row r="61" spans="1:16" x14ac:dyDescent="0.6">
      <c r="A61" s="39" t="str">
        <f>A45</f>
        <v>Urðun úrgangs</v>
      </c>
      <c r="B61" s="39" t="s">
        <v>4</v>
      </c>
      <c r="C61" s="36">
        <f>C45</f>
        <v>200147.98023607081</v>
      </c>
      <c r="D61" s="36">
        <f>D45</f>
        <v>191971.50498230336</v>
      </c>
      <c r="E61" s="36">
        <f>E45</f>
        <v>184804.85083694773</v>
      </c>
      <c r="F61" s="36">
        <f>F45</f>
        <v>192831.75217185242</v>
      </c>
      <c r="G61" s="36">
        <f>G45</f>
        <v>162892.72538557593</v>
      </c>
      <c r="H61" s="27"/>
      <c r="J61" s="33"/>
      <c r="K61" s="33"/>
      <c r="L61" s="33"/>
      <c r="M61" s="33"/>
      <c r="N61" s="33"/>
      <c r="O61" s="33"/>
      <c r="P61" s="33"/>
    </row>
    <row r="62" spans="1:16" x14ac:dyDescent="0.6">
      <c r="A62" t="s">
        <v>42</v>
      </c>
      <c r="B62" s="39" t="s">
        <v>4</v>
      </c>
      <c r="C62" s="36">
        <f>C48+C47+C46+C41+C39</f>
        <v>142021.80108409913</v>
      </c>
      <c r="D62" s="36">
        <f>D48+D47+D46+D41+D39</f>
        <v>138373.4865428489</v>
      </c>
      <c r="E62" s="36">
        <f>E48+E47+E46+E41+E39</f>
        <v>140625.959946338</v>
      </c>
      <c r="F62" s="36">
        <f>F48+F47+F46+F41+F39</f>
        <v>141002.63269383341</v>
      </c>
      <c r="G62" s="36">
        <f>G48+G47+G46+G41+G39</f>
        <v>141174.19865444436</v>
      </c>
      <c r="H62" s="27"/>
      <c r="J62" s="33"/>
      <c r="K62" s="33"/>
      <c r="L62" s="33"/>
      <c r="M62" s="33"/>
      <c r="N62" s="33"/>
      <c r="O62" s="33"/>
      <c r="P62" s="33"/>
    </row>
    <row r="63" spans="1:16" x14ac:dyDescent="0.6">
      <c r="J63" s="33"/>
      <c r="K63" s="33"/>
      <c r="L63" s="33"/>
      <c r="M63" s="33"/>
      <c r="N63" s="33"/>
      <c r="O63" s="33"/>
      <c r="P63" s="33"/>
    </row>
    <row r="64" spans="1:16" ht="24.5" x14ac:dyDescent="0.6">
      <c r="A64" s="6" t="s">
        <v>64</v>
      </c>
      <c r="B64" s="4" t="s">
        <v>0</v>
      </c>
      <c r="C64" s="5">
        <v>2015</v>
      </c>
      <c r="D64" s="5">
        <v>2016</v>
      </c>
      <c r="E64" s="5">
        <v>2017</v>
      </c>
      <c r="F64" s="5">
        <v>2018</v>
      </c>
      <c r="G64" s="5">
        <v>2019</v>
      </c>
      <c r="H64" s="5">
        <v>2020</v>
      </c>
      <c r="J64" s="33"/>
      <c r="K64" s="33"/>
      <c r="L64" s="33"/>
      <c r="M64" s="33"/>
      <c r="N64" s="33"/>
      <c r="O64" s="33"/>
      <c r="P64" s="33"/>
    </row>
    <row r="65" spans="1:16" x14ac:dyDescent="0.6">
      <c r="A65" s="39" t="s">
        <v>21</v>
      </c>
      <c r="B65" s="39" t="s">
        <v>4</v>
      </c>
      <c r="C65" s="36">
        <f>SUM(C66:C76)</f>
        <v>1812038.5541451485</v>
      </c>
      <c r="D65" s="36">
        <f>SUM(D66:D76)</f>
        <v>1780916.6888162368</v>
      </c>
      <c r="E65" s="36">
        <f>SUM(E66:E76)</f>
        <v>1831255.2153477697</v>
      </c>
      <c r="F65" s="36">
        <f>SUM(F66:F76)</f>
        <v>1854104.123553338</v>
      </c>
      <c r="G65" s="36">
        <f>SUM(G66:G76)</f>
        <v>1811822.5661452455</v>
      </c>
      <c r="H65" s="27"/>
      <c r="J65" s="33"/>
      <c r="K65" s="33"/>
      <c r="L65" s="33"/>
      <c r="M65" s="33"/>
      <c r="N65" s="33"/>
      <c r="O65" s="33"/>
      <c r="P65" s="33"/>
    </row>
    <row r="66" spans="1:16" x14ac:dyDescent="0.6">
      <c r="A66" s="39" t="s">
        <v>61</v>
      </c>
      <c r="B66" s="39" t="s">
        <v>4</v>
      </c>
      <c r="C66" s="36">
        <v>7877.342329986669</v>
      </c>
      <c r="D66" s="36">
        <v>12373.307299119999</v>
      </c>
      <c r="E66" s="36">
        <v>10500.173123390434</v>
      </c>
      <c r="F66" s="36">
        <v>11597.262139844523</v>
      </c>
      <c r="G66" s="36">
        <v>9973.4661452456712</v>
      </c>
      <c r="H66" s="27"/>
      <c r="J66" s="33"/>
      <c r="K66" s="33"/>
      <c r="L66" s="33"/>
      <c r="M66" s="33"/>
      <c r="N66" s="33"/>
      <c r="O66" s="33"/>
      <c r="P66" s="33"/>
    </row>
    <row r="67" spans="1:16" x14ac:dyDescent="0.6">
      <c r="A67" s="39" t="s">
        <v>62</v>
      </c>
      <c r="B67" s="39" t="s">
        <v>4</v>
      </c>
      <c r="C67" s="36">
        <v>400915.9615968545</v>
      </c>
      <c r="D67" s="36">
        <v>405165.45580981276</v>
      </c>
      <c r="E67" s="36">
        <v>428320.83524965425</v>
      </c>
      <c r="F67" s="36">
        <v>452243.36470046622</v>
      </c>
      <c r="G67" s="36">
        <v>428793</v>
      </c>
      <c r="H67" s="27"/>
      <c r="J67" s="33"/>
      <c r="K67" s="33"/>
      <c r="L67" s="33"/>
      <c r="M67" s="33"/>
      <c r="N67" s="33"/>
      <c r="O67" s="33"/>
      <c r="P67" s="33"/>
    </row>
    <row r="68" spans="1:16" x14ac:dyDescent="0.6">
      <c r="A68" s="39" t="s">
        <v>63</v>
      </c>
      <c r="B68" s="39" t="s">
        <v>4</v>
      </c>
      <c r="C68" s="36">
        <v>1403245.2502183074</v>
      </c>
      <c r="D68" s="36">
        <v>1363377.9257073039</v>
      </c>
      <c r="E68" s="36">
        <v>1392434.206974725</v>
      </c>
      <c r="F68" s="36">
        <v>1390263.4967130271</v>
      </c>
      <c r="G68" s="36">
        <v>1373056.0999999999</v>
      </c>
      <c r="H68" s="27"/>
      <c r="J68" s="33"/>
      <c r="K68" s="33"/>
      <c r="L68" s="33"/>
      <c r="M68" s="33"/>
      <c r="N68" s="33"/>
      <c r="O68" s="33"/>
      <c r="P68" s="33"/>
    </row>
    <row r="69" spans="1:16" x14ac:dyDescent="0.6">
      <c r="J69" s="33"/>
      <c r="K69" s="33"/>
      <c r="L69" s="33"/>
      <c r="M69" s="33"/>
      <c r="N69" s="33"/>
      <c r="O69" s="33"/>
      <c r="P69" s="33"/>
    </row>
    <row r="70" spans="1:16" x14ac:dyDescent="0.6">
      <c r="J70" s="33"/>
      <c r="K70" s="33"/>
      <c r="L70" s="33"/>
      <c r="M70" s="33"/>
      <c r="N70" s="33"/>
      <c r="O70" s="33"/>
      <c r="P70" s="33"/>
    </row>
    <row r="71" spans="1:16" x14ac:dyDescent="0.6">
      <c r="J71" s="33"/>
      <c r="K71" s="33"/>
      <c r="L71" s="33"/>
      <c r="M71" s="33"/>
      <c r="N71" s="33"/>
      <c r="O71" s="33"/>
      <c r="P71" s="33"/>
    </row>
    <row r="72" spans="1:16" x14ac:dyDescent="0.6">
      <c r="J72" s="33"/>
      <c r="K72" s="33"/>
      <c r="L72" s="33"/>
      <c r="M72" s="33"/>
      <c r="N72" s="33"/>
      <c r="O72" s="33"/>
      <c r="P72" s="33"/>
    </row>
    <row r="73" spans="1:16" x14ac:dyDescent="0.6">
      <c r="J73" s="33"/>
      <c r="K73" s="33"/>
      <c r="L73" s="33"/>
      <c r="M73" s="33"/>
      <c r="N73" s="33"/>
      <c r="O73" s="33"/>
      <c r="P73" s="33"/>
    </row>
    <row r="74" spans="1:16" x14ac:dyDescent="0.6">
      <c r="J74" s="33"/>
      <c r="K74" s="33"/>
      <c r="L74" s="33"/>
      <c r="M74" s="33"/>
      <c r="N74" s="33"/>
      <c r="O74" s="33"/>
      <c r="P74" s="33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4DC0-298B-4B8F-9746-F3FABF852F5D}">
  <dimension ref="B1:P43"/>
  <sheetViews>
    <sheetView zoomScale="110" zoomScaleNormal="110" workbookViewId="0">
      <selection activeCell="G47" sqref="G47"/>
    </sheetView>
  </sheetViews>
  <sheetFormatPr defaultColWidth="9.1328125" defaultRowHeight="13" x14ac:dyDescent="0.6"/>
  <cols>
    <col min="1" max="2" width="9.1328125" style="50"/>
    <col min="3" max="8" width="11.7265625" style="50" customWidth="1"/>
    <col min="9" max="12" width="9.1328125" style="50"/>
    <col min="13" max="13" width="9.26953125" style="50" bestFit="1" customWidth="1"/>
    <col min="14" max="18" width="9.54296875" style="50" bestFit="1" customWidth="1"/>
    <col min="19" max="25" width="9.1328125" style="50"/>
    <col min="26" max="26" width="10" style="50" bestFit="1" customWidth="1"/>
    <col min="27" max="16384" width="9.1328125" style="50"/>
  </cols>
  <sheetData>
    <row r="1" spans="2:16" ht="20.5" x14ac:dyDescent="0.9">
      <c r="B1" s="51" t="s">
        <v>80</v>
      </c>
      <c r="C1" s="51"/>
    </row>
    <row r="3" spans="2:16" x14ac:dyDescent="0.6">
      <c r="B3" s="52"/>
      <c r="C3" s="50" t="s">
        <v>81</v>
      </c>
    </row>
    <row r="7" spans="2:16" ht="18" x14ac:dyDescent="0.8">
      <c r="C7" s="53" t="s">
        <v>110</v>
      </c>
    </row>
    <row r="9" spans="2:16" x14ac:dyDescent="0.6">
      <c r="C9" s="50">
        <v>2015</v>
      </c>
      <c r="D9" s="50">
        <v>2016</v>
      </c>
      <c r="E9" s="50">
        <v>2017</v>
      </c>
      <c r="F9" s="50">
        <v>2018</v>
      </c>
      <c r="G9" s="50">
        <v>2019</v>
      </c>
      <c r="H9" s="50">
        <v>2020</v>
      </c>
    </row>
    <row r="10" spans="2:16" x14ac:dyDescent="0.6">
      <c r="B10" s="50" t="s">
        <v>531</v>
      </c>
      <c r="C10" s="50">
        <v>1119</v>
      </c>
      <c r="D10" s="50">
        <v>1137</v>
      </c>
      <c r="E10" s="50">
        <v>1060</v>
      </c>
    </row>
    <row r="11" spans="2:16" x14ac:dyDescent="0.6">
      <c r="B11" s="50" t="s">
        <v>532</v>
      </c>
      <c r="C11" s="50">
        <v>1041</v>
      </c>
      <c r="D11" s="50">
        <v>790</v>
      </c>
      <c r="E11" s="50">
        <v>775</v>
      </c>
      <c r="F11" s="50">
        <v>998</v>
      </c>
    </row>
    <row r="12" spans="2:16" x14ac:dyDescent="0.6">
      <c r="C12" s="50">
        <v>1041</v>
      </c>
      <c r="D12" s="50">
        <v>790</v>
      </c>
      <c r="E12" s="50">
        <v>775</v>
      </c>
      <c r="F12" s="50">
        <v>998</v>
      </c>
      <c r="G12" s="50">
        <v>480</v>
      </c>
      <c r="H12" s="50">
        <v>480</v>
      </c>
      <c r="L12" s="50">
        <v>1160</v>
      </c>
      <c r="M12" s="50">
        <v>139</v>
      </c>
      <c r="N12" s="50">
        <f>L12/M12</f>
        <v>8.3453237410071939</v>
      </c>
      <c r="O12" s="50">
        <f>M12/L12</f>
        <v>0.11982758620689656</v>
      </c>
      <c r="P12" s="50">
        <f>M12*L12</f>
        <v>161240</v>
      </c>
    </row>
    <row r="13" spans="2:16" x14ac:dyDescent="0.6">
      <c r="B13" s="50" t="s">
        <v>533</v>
      </c>
      <c r="C13" s="112">
        <f>Reykjavík!C4</f>
        <v>121430</v>
      </c>
      <c r="D13" s="112">
        <f>Reykjavík!D4</f>
        <v>122040</v>
      </c>
      <c r="E13" s="112">
        <f>Reykjavík!E4</f>
        <v>122750</v>
      </c>
      <c r="F13" s="112">
        <f>Reykjavík!F4</f>
        <v>125436</v>
      </c>
      <c r="G13" s="112">
        <f>Reykjavík!G4</f>
        <v>127957</v>
      </c>
      <c r="H13" s="112">
        <f>Reykjavík!H4</f>
        <v>130305</v>
      </c>
      <c r="L13" s="50">
        <v>1137</v>
      </c>
      <c r="M13" s="50">
        <v>143</v>
      </c>
      <c r="N13" s="50">
        <f>L13/M13</f>
        <v>7.9510489510489508</v>
      </c>
      <c r="O13" s="50">
        <f>M13/L13</f>
        <v>0.12576956904133685</v>
      </c>
      <c r="P13" s="50">
        <f>M13*L13</f>
        <v>162591</v>
      </c>
    </row>
    <row r="14" spans="2:16" x14ac:dyDescent="0.6">
      <c r="B14" s="50" t="s">
        <v>534</v>
      </c>
      <c r="C14" s="112">
        <f>Reykjavík!C5</f>
        <v>211282</v>
      </c>
      <c r="D14" s="112">
        <f>Reykjavík!D5</f>
        <v>213619</v>
      </c>
      <c r="E14" s="112">
        <f>Reykjavík!E5</f>
        <v>215878</v>
      </c>
      <c r="F14" s="112">
        <f>Reykjavík!F5</f>
        <v>222504</v>
      </c>
      <c r="G14" s="112">
        <f>Reykjavík!G5</f>
        <v>228228</v>
      </c>
      <c r="H14" s="112">
        <f>Reykjavík!H5</f>
        <v>233034</v>
      </c>
    </row>
    <row r="15" spans="2:16" x14ac:dyDescent="0.6">
      <c r="C15" s="112">
        <f>Reykjavík!C7</f>
        <v>329100</v>
      </c>
      <c r="D15" s="112">
        <f>Reykjavík!D7</f>
        <v>332529</v>
      </c>
      <c r="E15" s="112">
        <f>Reykjavík!E7</f>
        <v>338349</v>
      </c>
      <c r="F15" s="112">
        <f>Reykjavík!F7</f>
        <v>348450</v>
      </c>
      <c r="G15" s="112">
        <f>Reykjavík!G7</f>
        <v>365991</v>
      </c>
      <c r="H15" s="112">
        <f>Reykjavík!H7</f>
        <v>364134</v>
      </c>
    </row>
    <row r="16" spans="2:16" x14ac:dyDescent="0.6">
      <c r="B16" s="50">
        <v>2017</v>
      </c>
      <c r="C16" s="77">
        <f t="shared" ref="C16:H16" si="0">C13/C10</f>
        <v>108.5165326184093</v>
      </c>
      <c r="D16" s="77">
        <f t="shared" si="0"/>
        <v>107.33509234828496</v>
      </c>
      <c r="E16" s="77">
        <f t="shared" si="0"/>
        <v>115.80188679245283</v>
      </c>
      <c r="F16" s="77" t="e">
        <f t="shared" si="0"/>
        <v>#DIV/0!</v>
      </c>
      <c r="G16" s="77" t="e">
        <f t="shared" si="0"/>
        <v>#DIV/0!</v>
      </c>
      <c r="H16" s="77" t="e">
        <f t="shared" si="0"/>
        <v>#DIV/0!</v>
      </c>
    </row>
    <row r="17" spans="2:13" x14ac:dyDescent="0.6">
      <c r="B17" s="50">
        <v>2018</v>
      </c>
      <c r="C17" s="77">
        <f t="shared" ref="C17:H17" si="1">C13/C11</f>
        <v>116.64745437079731</v>
      </c>
      <c r="D17" s="77">
        <f t="shared" si="1"/>
        <v>154.48101265822785</v>
      </c>
      <c r="E17" s="77">
        <f t="shared" si="1"/>
        <v>158.38709677419354</v>
      </c>
      <c r="F17" s="77">
        <f t="shared" si="1"/>
        <v>125.687374749499</v>
      </c>
      <c r="G17" s="77" t="e">
        <f t="shared" si="1"/>
        <v>#DIV/0!</v>
      </c>
      <c r="H17" s="77" t="e">
        <f t="shared" si="1"/>
        <v>#DIV/0!</v>
      </c>
    </row>
    <row r="18" spans="2:13" x14ac:dyDescent="0.6">
      <c r="B18" s="50">
        <v>2019</v>
      </c>
      <c r="C18" s="121">
        <f t="shared" ref="C18:H18" si="2">C12*C13/1000000</f>
        <v>126.40863</v>
      </c>
      <c r="D18" s="121">
        <f t="shared" si="2"/>
        <v>96.411600000000007</v>
      </c>
      <c r="E18" s="121">
        <f t="shared" si="2"/>
        <v>95.131249999999994</v>
      </c>
      <c r="F18" s="121">
        <f t="shared" si="2"/>
        <v>125.18512800000001</v>
      </c>
      <c r="G18" s="121">
        <f t="shared" si="2"/>
        <v>61.419359999999998</v>
      </c>
      <c r="H18" s="121">
        <f t="shared" si="2"/>
        <v>62.546399999999998</v>
      </c>
    </row>
    <row r="20" spans="2:13" x14ac:dyDescent="0.6">
      <c r="C20" s="76">
        <f t="shared" ref="C20:H20" si="3">C15*60/1000*365/1000</f>
        <v>7207.29</v>
      </c>
      <c r="D20" s="76">
        <f t="shared" si="3"/>
        <v>7282.3851000000004</v>
      </c>
      <c r="E20" s="76">
        <f t="shared" si="3"/>
        <v>7409.8431</v>
      </c>
      <c r="F20" s="76">
        <f t="shared" si="3"/>
        <v>7631.0550000000003</v>
      </c>
      <c r="G20" s="76">
        <f t="shared" si="3"/>
        <v>8015.2028999999993</v>
      </c>
      <c r="H20" s="76">
        <f t="shared" si="3"/>
        <v>7974.5346000000009</v>
      </c>
    </row>
    <row r="21" spans="2:13" x14ac:dyDescent="0.6">
      <c r="B21" s="50" t="s">
        <v>564</v>
      </c>
      <c r="C21" s="76">
        <f t="shared" ref="C21:H21" si="4">C13*60/1000*365/1000</f>
        <v>2659.317</v>
      </c>
      <c r="D21" s="76">
        <f t="shared" si="4"/>
        <v>2672.6759999999999</v>
      </c>
      <c r="E21" s="76">
        <f t="shared" si="4"/>
        <v>2688.2249999999999</v>
      </c>
      <c r="F21" s="76">
        <f t="shared" si="4"/>
        <v>2747.0484000000001</v>
      </c>
      <c r="G21" s="76">
        <f t="shared" si="4"/>
        <v>2802.2583</v>
      </c>
      <c r="H21" s="76">
        <f t="shared" si="4"/>
        <v>2853.6795000000002</v>
      </c>
      <c r="K21" s="50" t="s">
        <v>570</v>
      </c>
      <c r="L21" s="50">
        <v>0.6</v>
      </c>
      <c r="M21" s="50" t="s">
        <v>571</v>
      </c>
    </row>
    <row r="22" spans="2:13" x14ac:dyDescent="0.6">
      <c r="B22" s="50" t="s">
        <v>562</v>
      </c>
      <c r="C22" s="50">
        <v>32.9</v>
      </c>
      <c r="D22" s="50">
        <v>32.9</v>
      </c>
      <c r="E22" s="50">
        <v>32.9</v>
      </c>
      <c r="F22" s="50">
        <v>32.9</v>
      </c>
      <c r="G22" s="50">
        <v>32.9</v>
      </c>
      <c r="H22" s="50">
        <v>32.9</v>
      </c>
      <c r="K22" s="50" t="s">
        <v>573</v>
      </c>
      <c r="L22" s="50">
        <v>0.1</v>
      </c>
    </row>
    <row r="23" spans="2:13" x14ac:dyDescent="0.6">
      <c r="K23" s="50" t="s">
        <v>572</v>
      </c>
      <c r="L23" s="50">
        <f>L22*L21</f>
        <v>0.06</v>
      </c>
    </row>
    <row r="24" spans="2:13" x14ac:dyDescent="0.6">
      <c r="B24" s="50" t="s">
        <v>569</v>
      </c>
      <c r="C24" s="76">
        <f t="shared" ref="C24:H24" si="5">C21*0.01</f>
        <v>26.593170000000001</v>
      </c>
      <c r="D24" s="76">
        <f t="shared" si="5"/>
        <v>26.726759999999999</v>
      </c>
      <c r="E24" s="76">
        <f t="shared" si="5"/>
        <v>26.882249999999999</v>
      </c>
      <c r="F24" s="76">
        <f t="shared" si="5"/>
        <v>27.470484000000003</v>
      </c>
      <c r="G24" s="76">
        <f t="shared" si="5"/>
        <v>28.022583000000001</v>
      </c>
      <c r="H24" s="76">
        <f t="shared" si="5"/>
        <v>28.536795000000001</v>
      </c>
    </row>
    <row r="25" spans="2:13" x14ac:dyDescent="0.6">
      <c r="B25" s="50" t="s">
        <v>177</v>
      </c>
      <c r="C25" s="76">
        <f t="shared" ref="C25:H25" si="6">(C21-C24)*$L$23</f>
        <v>157.9634298</v>
      </c>
      <c r="D25" s="76">
        <f t="shared" si="6"/>
        <v>158.75695439999998</v>
      </c>
      <c r="E25" s="76">
        <f t="shared" si="6"/>
        <v>159.68056499999997</v>
      </c>
      <c r="F25" s="76">
        <f t="shared" si="6"/>
        <v>163.17467496</v>
      </c>
      <c r="G25" s="76">
        <f t="shared" si="6"/>
        <v>166.45414302</v>
      </c>
      <c r="H25" s="121">
        <f t="shared" si="6"/>
        <v>169.50856229999999</v>
      </c>
    </row>
    <row r="26" spans="2:13" x14ac:dyDescent="0.6">
      <c r="B26" s="50" t="s">
        <v>391</v>
      </c>
      <c r="C26" s="76">
        <f t="shared" ref="C26:H26" si="7">C25*28</f>
        <v>4422.9760343999997</v>
      </c>
      <c r="D26" s="76">
        <f t="shared" si="7"/>
        <v>4445.1947231999993</v>
      </c>
      <c r="E26" s="76">
        <f t="shared" si="7"/>
        <v>4471.0558199999996</v>
      </c>
      <c r="F26" s="76">
        <f t="shared" si="7"/>
        <v>4568.8908988800003</v>
      </c>
      <c r="G26" s="76">
        <f t="shared" si="7"/>
        <v>4660.7160045600003</v>
      </c>
      <c r="H26" s="76">
        <f t="shared" si="7"/>
        <v>4746.2397443999998</v>
      </c>
    </row>
    <row r="32" spans="2:13" x14ac:dyDescent="0.6">
      <c r="B32" s="50" t="s">
        <v>178</v>
      </c>
    </row>
    <row r="33" spans="2:13" x14ac:dyDescent="0.6">
      <c r="B33" s="50" t="s">
        <v>563</v>
      </c>
      <c r="C33" s="124">
        <f t="shared" ref="C33:H33" si="8">C20/C34</f>
        <v>18.247981925609967</v>
      </c>
      <c r="D33" s="124">
        <f t="shared" si="8"/>
        <v>18.391548423459589</v>
      </c>
      <c r="E33" s="124">
        <f t="shared" si="8"/>
        <v>18.666300141275531</v>
      </c>
      <c r="F33" s="124">
        <f t="shared" si="8"/>
        <v>19.175255135555506</v>
      </c>
      <c r="G33" s="124">
        <f t="shared" si="8"/>
        <v>20.090056827710612</v>
      </c>
      <c r="H33" s="124">
        <f t="shared" si="8"/>
        <v>19.938147140287231</v>
      </c>
    </row>
    <row r="34" spans="2:13" x14ac:dyDescent="0.6">
      <c r="C34" s="77">
        <v>394.96367485354602</v>
      </c>
      <c r="D34" s="77">
        <v>395.96367485354602</v>
      </c>
      <c r="E34" s="77">
        <v>396.96367485354602</v>
      </c>
      <c r="F34" s="77">
        <v>397.96367485354602</v>
      </c>
      <c r="G34" s="77">
        <v>398.96367485354602</v>
      </c>
      <c r="H34" s="77">
        <v>399.96367485354602</v>
      </c>
    </row>
    <row r="35" spans="2:13" x14ac:dyDescent="0.6">
      <c r="C35" s="121">
        <f t="shared" ref="C35:H35" si="9">C33/C15*C13</f>
        <v>6.7330672902668436</v>
      </c>
      <c r="D35" s="121">
        <f t="shared" si="9"/>
        <v>6.7498009785582864</v>
      </c>
      <c r="E35" s="121">
        <f t="shared" si="9"/>
        <v>6.771967236024258</v>
      </c>
      <c r="F35" s="121">
        <f t="shared" si="9"/>
        <v>6.9027616679108643</v>
      </c>
      <c r="G35" s="121">
        <f t="shared" si="9"/>
        <v>7.023843213366904</v>
      </c>
      <c r="H35" s="806">
        <f t="shared" si="9"/>
        <v>7.1348466858769788</v>
      </c>
    </row>
    <row r="36" spans="2:13" x14ac:dyDescent="0.6">
      <c r="B36" s="50" t="s">
        <v>391</v>
      </c>
      <c r="C36" s="76">
        <f t="shared" ref="C36:H36" si="10">C35*265</f>
        <v>1784.2628319207136</v>
      </c>
      <c r="D36" s="76">
        <f t="shared" si="10"/>
        <v>1788.697259317946</v>
      </c>
      <c r="E36" s="76">
        <f t="shared" si="10"/>
        <v>1794.5713175464284</v>
      </c>
      <c r="F36" s="76">
        <f t="shared" si="10"/>
        <v>1829.231841996379</v>
      </c>
      <c r="G36" s="76">
        <f t="shared" si="10"/>
        <v>1861.3184515422295</v>
      </c>
      <c r="H36" s="76">
        <f t="shared" si="10"/>
        <v>1890.7343717573995</v>
      </c>
    </row>
    <row r="39" spans="2:13" x14ac:dyDescent="0.6">
      <c r="B39" s="50" t="s">
        <v>556</v>
      </c>
      <c r="C39" s="50">
        <v>1319395</v>
      </c>
      <c r="D39" s="50">
        <v>1067357</v>
      </c>
      <c r="E39" s="50">
        <v>1179526</v>
      </c>
      <c r="F39" s="50">
        <v>1258551</v>
      </c>
      <c r="G39" s="50">
        <v>1047568</v>
      </c>
      <c r="H39" s="50">
        <v>877570</v>
      </c>
      <c r="L39" s="50">
        <v>13</v>
      </c>
      <c r="M39" s="50" t="s">
        <v>565</v>
      </c>
    </row>
    <row r="40" spans="2:13" x14ac:dyDescent="0.6">
      <c r="B40" s="50" t="s">
        <v>557</v>
      </c>
      <c r="C40" s="50">
        <v>101757</v>
      </c>
      <c r="D40" s="50">
        <v>94470</v>
      </c>
      <c r="E40" s="50">
        <v>84854</v>
      </c>
      <c r="F40" s="50">
        <v>93006</v>
      </c>
      <c r="G40" s="50">
        <v>73380</v>
      </c>
      <c r="H40" s="76">
        <f>H39*H41</f>
        <v>66961.859770502473</v>
      </c>
      <c r="L40" s="50">
        <v>2.5</v>
      </c>
      <c r="M40" s="50" t="s">
        <v>566</v>
      </c>
    </row>
    <row r="41" spans="2:13" x14ac:dyDescent="0.6">
      <c r="B41" s="50" t="s">
        <v>74</v>
      </c>
      <c r="C41" s="162">
        <f>C40/C39</f>
        <v>7.7123984856695679E-2</v>
      </c>
      <c r="D41" s="162">
        <f>D40/D39</f>
        <v>8.8508343506436923E-2</v>
      </c>
      <c r="E41" s="162">
        <f>E40/E39</f>
        <v>7.1939067048967131E-2</v>
      </c>
      <c r="F41" s="162">
        <f>F40/F39</f>
        <v>7.3899269874641557E-2</v>
      </c>
      <c r="G41" s="162">
        <f>G40/G39</f>
        <v>7.0047958700533042E-2</v>
      </c>
      <c r="H41" s="162">
        <f>AVERAGE(C41:G41)</f>
        <v>7.6303724797454869E-2</v>
      </c>
    </row>
    <row r="42" spans="2:13" x14ac:dyDescent="0.6">
      <c r="B42" s="50" t="s">
        <v>567</v>
      </c>
      <c r="C42" s="76">
        <f t="shared" ref="C42:H42" si="11">C40*$L$39*$L$40/1000</f>
        <v>3307.1025</v>
      </c>
      <c r="D42" s="76">
        <f t="shared" si="11"/>
        <v>3070.2750000000001</v>
      </c>
      <c r="E42" s="76">
        <f t="shared" si="11"/>
        <v>2757.7550000000001</v>
      </c>
      <c r="F42" s="76">
        <f t="shared" si="11"/>
        <v>3022.6950000000002</v>
      </c>
      <c r="G42" s="76">
        <f t="shared" si="11"/>
        <v>2384.85</v>
      </c>
      <c r="H42" s="76">
        <f t="shared" si="11"/>
        <v>2176.2604425413306</v>
      </c>
    </row>
    <row r="43" spans="2:13" x14ac:dyDescent="0.6">
      <c r="B43" s="50" t="s">
        <v>568</v>
      </c>
      <c r="C43" s="76">
        <f t="shared" ref="C43:H43" si="12">C42*0.02*28</f>
        <v>1851.9774</v>
      </c>
      <c r="D43" s="76">
        <f t="shared" si="12"/>
        <v>1719.354</v>
      </c>
      <c r="E43" s="76">
        <f t="shared" si="12"/>
        <v>1544.3428000000001</v>
      </c>
      <c r="F43" s="76">
        <f t="shared" si="12"/>
        <v>1692.7092000000002</v>
      </c>
      <c r="G43" s="76">
        <f t="shared" si="12"/>
        <v>1335.5159999999998</v>
      </c>
      <c r="H43" s="76">
        <f t="shared" si="12"/>
        <v>1218.7058478231452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F1D8-DE4C-4404-974B-DB5A096E327B}">
  <dimension ref="A1:AK93"/>
  <sheetViews>
    <sheetView topLeftCell="A5" zoomScale="89" zoomScaleNormal="89" workbookViewId="0">
      <selection activeCell="G77" sqref="G77:G93"/>
    </sheetView>
  </sheetViews>
  <sheetFormatPr defaultColWidth="9.1328125" defaultRowHeight="13" x14ac:dyDescent="0.6"/>
  <cols>
    <col min="1" max="1" width="9.1328125" style="50"/>
    <col min="2" max="2" width="18.86328125" style="50" customWidth="1"/>
    <col min="3" max="3" width="12.40625" style="50" customWidth="1"/>
    <col min="4" max="4" width="10.40625" style="50" customWidth="1"/>
    <col min="5" max="6" width="9.1328125" style="50"/>
    <col min="7" max="7" width="10.81640625" style="50" bestFit="1" customWidth="1"/>
    <col min="8" max="9" width="13.40625" style="50" customWidth="1"/>
    <col min="10" max="10" width="9.1328125" style="50"/>
    <col min="11" max="11" width="12.86328125" style="50" customWidth="1"/>
    <col min="12" max="12" width="13.26953125" style="50" customWidth="1"/>
    <col min="13" max="14" width="9.1328125" style="50"/>
    <col min="15" max="15" width="11.54296875" style="50" bestFit="1" customWidth="1"/>
    <col min="16" max="18" width="9.1328125" style="50"/>
    <col min="19" max="19" width="9.54296875" style="50" bestFit="1" customWidth="1"/>
    <col min="20" max="20" width="10.54296875" style="50" bestFit="1" customWidth="1"/>
    <col min="21" max="25" width="9.1328125" style="50"/>
    <col min="26" max="26" width="18.86328125" style="50" bestFit="1" customWidth="1"/>
    <col min="27" max="16384" width="9.1328125" style="50"/>
  </cols>
  <sheetData>
    <row r="1" spans="1:27" ht="14.25" x14ac:dyDescent="0.65">
      <c r="A1" s="430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27" ht="21.25" thickBot="1" x14ac:dyDescent="1.05">
      <c r="A2" s="901" t="s">
        <v>266</v>
      </c>
      <c r="B2" s="901"/>
      <c r="C2" s="901"/>
      <c r="D2" s="901"/>
      <c r="E2" s="901"/>
      <c r="F2" s="901"/>
      <c r="G2" s="901"/>
      <c r="H2" s="901"/>
      <c r="I2" s="901"/>
      <c r="J2" s="901"/>
      <c r="K2" s="901"/>
      <c r="L2" s="901"/>
      <c r="N2" s="51" t="s">
        <v>80</v>
      </c>
      <c r="O2" s="51"/>
    </row>
    <row r="3" spans="1:27" ht="25.25" x14ac:dyDescent="1.05">
      <c r="A3" s="902"/>
      <c r="B3" s="903"/>
      <c r="C3" s="908" t="s">
        <v>112</v>
      </c>
      <c r="D3" s="909"/>
      <c r="E3" s="909"/>
      <c r="F3" s="909"/>
      <c r="G3" s="909"/>
      <c r="H3" s="909"/>
      <c r="I3" s="909"/>
      <c r="J3" s="909"/>
      <c r="K3" s="909"/>
      <c r="L3" s="909"/>
    </row>
    <row r="4" spans="1:27" ht="25.25" x14ac:dyDescent="0.6">
      <c r="A4" s="904"/>
      <c r="B4" s="905"/>
      <c r="C4" s="353"/>
      <c r="D4" s="472"/>
      <c r="E4" s="472"/>
      <c r="F4" s="354"/>
      <c r="G4" s="357"/>
      <c r="H4" s="911"/>
      <c r="I4" s="358"/>
      <c r="J4" s="940" t="s">
        <v>364</v>
      </c>
      <c r="K4" s="941"/>
      <c r="L4" s="941"/>
      <c r="N4" s="52"/>
      <c r="O4" s="50" t="s">
        <v>81</v>
      </c>
    </row>
    <row r="5" spans="1:27" ht="25.25" x14ac:dyDescent="1.05">
      <c r="A5" s="906"/>
      <c r="B5" s="907"/>
      <c r="C5" s="359"/>
      <c r="D5" s="473"/>
      <c r="E5" s="473"/>
      <c r="F5" s="477"/>
      <c r="G5" s="363"/>
      <c r="H5" s="912"/>
      <c r="I5" s="364"/>
      <c r="J5" s="434"/>
      <c r="K5" s="435"/>
      <c r="L5" s="435"/>
    </row>
    <row r="6" spans="1:27" ht="20.5" x14ac:dyDescent="0.9">
      <c r="A6" s="368"/>
      <c r="B6" s="369"/>
      <c r="C6" s="370"/>
      <c r="D6" s="371"/>
      <c r="E6" s="371">
        <v>28</v>
      </c>
      <c r="F6" s="372">
        <v>265</v>
      </c>
      <c r="G6" s="373"/>
      <c r="H6" s="913"/>
      <c r="I6" s="364"/>
      <c r="J6" s="374"/>
      <c r="K6" s="447"/>
      <c r="L6" s="375"/>
      <c r="N6" s="51" t="s">
        <v>31</v>
      </c>
    </row>
    <row r="7" spans="1:27" ht="15" thickBot="1" x14ac:dyDescent="0.8">
      <c r="A7" s="921" t="s">
        <v>268</v>
      </c>
      <c r="B7" s="922"/>
      <c r="C7" s="377" t="s">
        <v>415</v>
      </c>
      <c r="D7" s="378" t="s">
        <v>433</v>
      </c>
      <c r="E7" s="948" t="s">
        <v>435</v>
      </c>
      <c r="F7" s="949"/>
      <c r="G7" s="436"/>
      <c r="H7" s="380" t="s">
        <v>164</v>
      </c>
      <c r="I7" s="437" t="s">
        <v>494</v>
      </c>
      <c r="J7" s="381"/>
      <c r="K7" s="452" t="s">
        <v>494</v>
      </c>
      <c r="L7" s="453" t="s">
        <v>65</v>
      </c>
      <c r="R7" s="50">
        <v>28</v>
      </c>
      <c r="T7" s="50">
        <v>265</v>
      </c>
    </row>
    <row r="8" spans="1:27" ht="15" thickBot="1" x14ac:dyDescent="0.8">
      <c r="A8" s="382"/>
      <c r="B8" s="383"/>
      <c r="C8" s="470"/>
      <c r="D8" s="471"/>
      <c r="E8" s="471" t="s">
        <v>392</v>
      </c>
      <c r="F8" s="471" t="s">
        <v>52</v>
      </c>
      <c r="G8" s="747" t="s">
        <v>65</v>
      </c>
      <c r="H8" s="385" t="s">
        <v>273</v>
      </c>
      <c r="I8" s="386"/>
      <c r="J8" s="387"/>
      <c r="K8" s="448"/>
      <c r="L8" s="454"/>
      <c r="N8" s="50" t="s">
        <v>434</v>
      </c>
      <c r="R8" s="25" t="s">
        <v>177</v>
      </c>
      <c r="S8" s="476"/>
      <c r="T8" s="476" t="s">
        <v>178</v>
      </c>
      <c r="U8" s="476"/>
      <c r="V8" s="476" t="s">
        <v>416</v>
      </c>
      <c r="W8" s="476"/>
      <c r="X8" s="476"/>
    </row>
    <row r="9" spans="1:27" ht="14.25" x14ac:dyDescent="0.65">
      <c r="A9" s="897">
        <v>2016</v>
      </c>
      <c r="B9" s="50" t="s">
        <v>385</v>
      </c>
      <c r="C9" s="389">
        <v>378477</v>
      </c>
      <c r="D9" s="390">
        <v>247</v>
      </c>
      <c r="E9" s="390">
        <f>D9*$R$10*$E$6/1000</f>
        <v>77.09692712481332</v>
      </c>
      <c r="F9" s="390">
        <f>D9*(($S$10*$E$6+($T$10+$Y$10)*$F$6))/1000</f>
        <v>14.766627441289181</v>
      </c>
      <c r="G9" s="392">
        <f t="shared" ref="G9:G18" si="0">E9+F9</f>
        <v>91.863554566102493</v>
      </c>
      <c r="H9" s="438">
        <f>G9</f>
        <v>91.863554566102493</v>
      </c>
      <c r="I9" s="438"/>
      <c r="J9" s="393"/>
      <c r="K9" s="394"/>
      <c r="L9" s="395"/>
      <c r="N9" s="50" t="s">
        <v>392</v>
      </c>
      <c r="O9" s="50" t="s">
        <v>393</v>
      </c>
      <c r="Q9" s="475" t="s">
        <v>407</v>
      </c>
      <c r="R9" s="50" t="s">
        <v>392</v>
      </c>
      <c r="S9" s="50" t="s">
        <v>52</v>
      </c>
      <c r="T9" s="50" t="s">
        <v>52</v>
      </c>
      <c r="U9" s="50" t="s">
        <v>403</v>
      </c>
      <c r="V9" s="50" t="s">
        <v>409</v>
      </c>
      <c r="W9" s="50" t="s">
        <v>410</v>
      </c>
      <c r="X9" s="50" t="s">
        <v>411</v>
      </c>
      <c r="Y9" s="50" t="s">
        <v>412</v>
      </c>
    </row>
    <row r="10" spans="1:27" ht="14.25" x14ac:dyDescent="0.65">
      <c r="A10" s="883"/>
      <c r="B10" s="50" t="s">
        <v>388</v>
      </c>
      <c r="C10" s="397">
        <v>11949</v>
      </c>
      <c r="D10" s="398">
        <v>13</v>
      </c>
      <c r="E10" s="398">
        <f>D10*$R$11*$E$6/1000</f>
        <v>4.3479836101767999</v>
      </c>
      <c r="F10" s="398">
        <f>D10*(($S$11*$E$6+($T$11+$Y$11)*$F$6))/1000</f>
        <v>1.0120039672145935</v>
      </c>
      <c r="G10" s="400">
        <f t="shared" si="0"/>
        <v>5.3599875773913936</v>
      </c>
      <c r="H10" s="439">
        <f>G10+G9</f>
        <v>97.223542143493887</v>
      </c>
      <c r="I10" s="439"/>
      <c r="J10" s="393"/>
      <c r="K10" s="394"/>
      <c r="L10" s="401"/>
      <c r="N10" s="50" t="s">
        <v>52</v>
      </c>
      <c r="O10" s="50" t="s">
        <v>397</v>
      </c>
      <c r="Q10" s="50" t="s">
        <v>385</v>
      </c>
      <c r="R10" s="121">
        <v>11.14761814991517</v>
      </c>
      <c r="S10" s="121">
        <v>1.0784697573920701</v>
      </c>
      <c r="T10" s="121">
        <v>7.2979379999999996E-2</v>
      </c>
      <c r="U10" s="121">
        <v>20.166250000000002</v>
      </c>
      <c r="V10" s="255">
        <v>0.1925</v>
      </c>
      <c r="W10" s="255">
        <v>0.35749999999999998</v>
      </c>
      <c r="X10" s="255">
        <v>0.45</v>
      </c>
      <c r="Y10" s="50">
        <f t="shared" ref="Y10:Y17" si="1">U10*(0.001*44/28*V10+0.002*(W10+X10))</f>
        <v>3.8668784375000008E-2</v>
      </c>
      <c r="AA10" s="76"/>
    </row>
    <row r="11" spans="1:27" ht="14.25" x14ac:dyDescent="0.65">
      <c r="A11" s="883"/>
      <c r="B11" s="50" t="s">
        <v>394</v>
      </c>
      <c r="C11" s="397">
        <f>86248</f>
        <v>86248</v>
      </c>
      <c r="D11" s="398">
        <f>51</f>
        <v>51</v>
      </c>
      <c r="E11" s="398">
        <f>D11*$R$12*$E$6/1000</f>
        <v>13.493470132854195</v>
      </c>
      <c r="F11" s="398">
        <f>D11*(($S$12*$E$6+($T$12+$Y$12)*$F$6))/1000</f>
        <v>2.0269685140733391</v>
      </c>
      <c r="G11" s="400">
        <f t="shared" si="0"/>
        <v>15.520438646927534</v>
      </c>
      <c r="H11" s="439">
        <f>G11+G10+G9</f>
        <v>112.74398079042142</v>
      </c>
      <c r="I11" s="439"/>
      <c r="J11" s="402"/>
      <c r="K11" s="394"/>
      <c r="L11" s="394"/>
      <c r="N11" s="50" t="s">
        <v>178</v>
      </c>
      <c r="O11" s="50" t="s">
        <v>400</v>
      </c>
      <c r="Q11" s="50" t="s">
        <v>388</v>
      </c>
      <c r="R11" s="121">
        <v>11.945009918068131</v>
      </c>
      <c r="S11" s="121">
        <v>1.1556129322983999</v>
      </c>
      <c r="T11" s="121">
        <v>0.11514180857179999</v>
      </c>
      <c r="U11" s="121">
        <v>29.473749999999999</v>
      </c>
      <c r="V11" s="255">
        <v>0.1925</v>
      </c>
      <c r="W11" s="255">
        <v>0.35749999999999998</v>
      </c>
      <c r="X11" s="255">
        <v>0.45</v>
      </c>
      <c r="Y11" s="50">
        <f t="shared" si="1"/>
        <v>5.6515915625000003E-2</v>
      </c>
      <c r="AA11" s="76"/>
    </row>
    <row r="12" spans="1:27" ht="14.25" x14ac:dyDescent="0.65">
      <c r="A12" s="883"/>
      <c r="B12" s="50" t="s">
        <v>398</v>
      </c>
      <c r="C12" s="397">
        <f>86248*3</f>
        <v>258744</v>
      </c>
      <c r="D12" s="398">
        <f>51*3</f>
        <v>153</v>
      </c>
      <c r="E12" s="398">
        <f>D12*$R$13*$E$6/1000</f>
        <v>20.022430131134477</v>
      </c>
      <c r="F12" s="398">
        <f>D12*(($S$13*$E$6+($T$13+$Y$13)*$F$6))/1000</f>
        <v>0.99577373885213039</v>
      </c>
      <c r="G12" s="400">
        <f t="shared" si="0"/>
        <v>21.018203869986607</v>
      </c>
      <c r="H12" s="439">
        <f>SUM(G9:G12)</f>
        <v>133.76218466040802</v>
      </c>
      <c r="I12" s="439"/>
      <c r="J12" s="402"/>
      <c r="K12" s="394"/>
      <c r="L12" s="394"/>
      <c r="N12" s="50" t="s">
        <v>403</v>
      </c>
      <c r="O12" s="50" t="s">
        <v>400</v>
      </c>
      <c r="Q12" s="50" t="s">
        <v>394</v>
      </c>
      <c r="R12" s="121">
        <v>9.4492087765085397</v>
      </c>
      <c r="S12" s="121">
        <v>0.91415808731918002</v>
      </c>
      <c r="T12" s="121">
        <v>3.2046688928510002E-2</v>
      </c>
      <c r="U12" s="121">
        <v>11.130219</v>
      </c>
      <c r="V12" s="255">
        <v>0.1925</v>
      </c>
      <c r="W12" s="255">
        <v>0.35749999999999998</v>
      </c>
      <c r="X12" s="255">
        <v>0.45</v>
      </c>
      <c r="Y12" s="50">
        <f t="shared" si="1"/>
        <v>2.1342194932500003E-2</v>
      </c>
      <c r="AA12" s="76"/>
    </row>
    <row r="13" spans="1:27" ht="14.25" x14ac:dyDescent="0.65">
      <c r="A13" s="883"/>
      <c r="B13" s="50" t="s">
        <v>401</v>
      </c>
      <c r="C13" s="397">
        <f>SUM(C9:C12)</f>
        <v>735418</v>
      </c>
      <c r="D13" s="398">
        <f>SUM(D9:D12)</f>
        <v>464</v>
      </c>
      <c r="E13" s="398">
        <f>SUM(E9:E12)</f>
        <v>114.96081099897879</v>
      </c>
      <c r="F13" s="398">
        <f>SUM(F9:F12)</f>
        <v>18.801373661429242</v>
      </c>
      <c r="G13" s="400">
        <f t="shared" si="0"/>
        <v>133.76218466040802</v>
      </c>
      <c r="H13" s="439">
        <f>G13</f>
        <v>133.76218466040802</v>
      </c>
      <c r="I13" s="439">
        <f>D13</f>
        <v>464</v>
      </c>
      <c r="J13" s="402"/>
      <c r="K13" s="394"/>
      <c r="L13" s="394"/>
      <c r="Q13" s="50" t="s">
        <v>398</v>
      </c>
      <c r="R13" s="121">
        <v>4.6737698718801299</v>
      </c>
      <c r="S13" s="121">
        <v>9.9161767965600001E-2</v>
      </c>
      <c r="T13" s="121"/>
      <c r="U13" s="121">
        <v>7.0411237499999997</v>
      </c>
      <c r="X13" s="255">
        <v>1</v>
      </c>
      <c r="Y13" s="50">
        <f t="shared" si="1"/>
        <v>1.4082247499999999E-2</v>
      </c>
      <c r="AA13" s="76"/>
    </row>
    <row r="14" spans="1:27" ht="14.25" x14ac:dyDescent="0.65">
      <c r="A14" s="883"/>
      <c r="B14" s="50" t="s">
        <v>492</v>
      </c>
      <c r="C14" s="397">
        <v>26354</v>
      </c>
      <c r="D14" s="398">
        <v>49</v>
      </c>
      <c r="E14" s="398">
        <f>D14*$R$15*$E$6/1000</f>
        <v>149.77505914</v>
      </c>
      <c r="F14" s="398">
        <f>D14*(($S$15*$E$6+($T$15+$Y$15)*$F$6))/1000</f>
        <v>45.002651510642387</v>
      </c>
      <c r="G14" s="400">
        <f t="shared" si="0"/>
        <v>194.77771065064238</v>
      </c>
      <c r="H14" s="439">
        <f>G14+G13</f>
        <v>328.53989531105037</v>
      </c>
      <c r="I14" s="439"/>
      <c r="J14" s="402"/>
      <c r="K14" s="394"/>
      <c r="L14" s="394"/>
      <c r="Q14" s="50" t="s">
        <v>401</v>
      </c>
      <c r="R14" s="121"/>
      <c r="T14" s="121"/>
      <c r="U14" s="121"/>
      <c r="Y14" s="50">
        <f t="shared" si="1"/>
        <v>0</v>
      </c>
      <c r="AA14" s="76"/>
    </row>
    <row r="15" spans="1:27" ht="14.25" x14ac:dyDescent="0.65">
      <c r="A15" s="883"/>
      <c r="B15" s="50" t="s">
        <v>493</v>
      </c>
      <c r="C15" s="397">
        <v>17907</v>
      </c>
      <c r="D15" s="398">
        <v>16</v>
      </c>
      <c r="E15" s="398">
        <f>D15*$R$16*$E$6/1000</f>
        <v>33.042307878720003</v>
      </c>
      <c r="F15" s="398">
        <f>D15*(($S$16*$E$6+($T$16+$Y$16)*$F$6))/1000</f>
        <v>1.7767382506519038</v>
      </c>
      <c r="G15" s="400">
        <f t="shared" si="0"/>
        <v>34.819046129371905</v>
      </c>
      <c r="H15" s="439">
        <f>G15+G14+G13</f>
        <v>363.35894144042231</v>
      </c>
      <c r="I15" s="439"/>
      <c r="J15" s="402"/>
      <c r="K15" s="394"/>
      <c r="L15" s="394"/>
      <c r="Q15" s="50" t="s">
        <v>386</v>
      </c>
      <c r="R15" s="121">
        <v>109.16549500000001</v>
      </c>
      <c r="S15" s="121">
        <v>30.69296748</v>
      </c>
      <c r="T15" s="121">
        <v>5.7939999999999998E-2</v>
      </c>
      <c r="U15" s="121">
        <v>97.662642700000006</v>
      </c>
      <c r="V15" s="255">
        <v>0.73</v>
      </c>
      <c r="X15" s="255">
        <v>0.27</v>
      </c>
      <c r="Y15" s="50">
        <f t="shared" si="1"/>
        <v>0.16477083004100002</v>
      </c>
      <c r="AA15" s="76"/>
    </row>
    <row r="16" spans="1:27" ht="14.25" x14ac:dyDescent="0.65">
      <c r="A16" s="883"/>
      <c r="B16" s="50" t="s">
        <v>395</v>
      </c>
      <c r="C16" s="397">
        <v>30783</v>
      </c>
      <c r="D16" s="398">
        <v>34</v>
      </c>
      <c r="E16" s="398">
        <f>D16*$R$17*$E$6/1000</f>
        <v>33.723869149599999</v>
      </c>
      <c r="F16" s="398">
        <f>D16*(($S$17*$E$6+($T$17+$Y$17)*$F$6))/1000</f>
        <v>9.5015769415239273</v>
      </c>
      <c r="G16" s="441">
        <f t="shared" si="0"/>
        <v>43.225446091123928</v>
      </c>
      <c r="H16" s="439">
        <f>G16+G15+G14+G13</f>
        <v>406.58438753154621</v>
      </c>
      <c r="I16" s="439"/>
      <c r="J16" s="402"/>
      <c r="K16" s="394"/>
      <c r="L16" s="394"/>
      <c r="Q16" s="50" t="s">
        <v>389</v>
      </c>
      <c r="R16" s="121">
        <v>73.755151514999994</v>
      </c>
      <c r="S16" s="121">
        <v>3.009973484848</v>
      </c>
      <c r="T16" s="121">
        <v>4.0448560000000003E-3</v>
      </c>
      <c r="U16" s="121">
        <v>60.225000000000001</v>
      </c>
      <c r="V16" s="255">
        <v>0.91</v>
      </c>
      <c r="X16" s="255">
        <v>0.09</v>
      </c>
      <c r="Y16" s="50">
        <f t="shared" si="1"/>
        <v>9.696225E-2</v>
      </c>
      <c r="AA16" s="76"/>
    </row>
    <row r="17" spans="1:29" ht="14.25" x14ac:dyDescent="0.65">
      <c r="A17" s="883"/>
      <c r="B17" s="50" t="s">
        <v>417</v>
      </c>
      <c r="C17" s="397">
        <f>SUM(C14:C16)</f>
        <v>75044</v>
      </c>
      <c r="D17" s="398">
        <f>SUM(D14:D16)</f>
        <v>99</v>
      </c>
      <c r="E17" s="398">
        <f>SUM(E14:E16)</f>
        <v>216.54123616832001</v>
      </c>
      <c r="F17" s="398">
        <f>SUM(F14:F16)</f>
        <v>56.280966702818219</v>
      </c>
      <c r="G17" s="441">
        <f t="shared" si="0"/>
        <v>272.82220287113824</v>
      </c>
      <c r="H17" s="439">
        <f>G17+G13</f>
        <v>406.58438753154627</v>
      </c>
      <c r="I17" s="439">
        <f>D17+I13</f>
        <v>563</v>
      </c>
      <c r="J17" s="402"/>
      <c r="K17" s="394"/>
      <c r="L17" s="394"/>
      <c r="Q17" s="50" t="s">
        <v>395</v>
      </c>
      <c r="R17" s="121">
        <v>35.4242323</v>
      </c>
      <c r="S17" s="121">
        <v>9.3408676986426702</v>
      </c>
      <c r="T17" s="121">
        <v>2.1332018834830001E-2</v>
      </c>
      <c r="U17" s="121">
        <v>29.442900000000002</v>
      </c>
      <c r="V17" s="255">
        <v>1</v>
      </c>
      <c r="Y17" s="50">
        <f t="shared" si="1"/>
        <v>4.6267414285714285E-2</v>
      </c>
      <c r="AA17" s="76"/>
    </row>
    <row r="18" spans="1:29" ht="14.25" x14ac:dyDescent="0.65">
      <c r="A18" s="883"/>
      <c r="B18" s="50" t="s">
        <v>491</v>
      </c>
      <c r="C18" s="397">
        <v>59</v>
      </c>
      <c r="D18" s="398">
        <v>12</v>
      </c>
      <c r="E18" s="398">
        <f>D18*$R$20*$E$6/1000</f>
        <v>0.504</v>
      </c>
      <c r="F18" s="398">
        <f>D18*(($S$20*$E$6+($T$20+$Y$19)*$F$6))/1000</f>
        <v>2.1309092999999999</v>
      </c>
      <c r="G18" s="441">
        <f t="shared" si="0"/>
        <v>2.6349092999999999</v>
      </c>
      <c r="H18" s="439">
        <f>H17+G18</f>
        <v>409.21929683154627</v>
      </c>
      <c r="I18" s="439"/>
      <c r="J18" s="402"/>
      <c r="K18" s="394"/>
      <c r="L18" s="394"/>
      <c r="R18" s="121"/>
      <c r="S18" s="121"/>
      <c r="T18" s="121"/>
      <c r="U18" s="121"/>
      <c r="V18" s="255"/>
      <c r="AA18" s="76"/>
    </row>
    <row r="19" spans="1:29" ht="14.25" x14ac:dyDescent="0.65">
      <c r="A19" s="883"/>
      <c r="B19" s="50" t="s">
        <v>387</v>
      </c>
      <c r="C19" s="397">
        <v>3451</v>
      </c>
      <c r="D19" s="398">
        <v>841</v>
      </c>
      <c r="E19" s="398">
        <f>D19*$R$20*$E$6/1000</f>
        <v>35.322000000000003</v>
      </c>
      <c r="F19" s="398">
        <f>D19*(($S$20*$E$6+($T$20+$Y$20)*$F$6))/1000</f>
        <v>149.341226775</v>
      </c>
      <c r="G19" s="400">
        <f t="shared" ref="G19:G24" si="2">E19+F19</f>
        <v>184.663226775</v>
      </c>
      <c r="H19" s="439">
        <f>G19+G17+G16+G18</f>
        <v>503.3457850372622</v>
      </c>
      <c r="I19" s="439"/>
      <c r="J19" s="402"/>
      <c r="K19" s="394"/>
      <c r="L19" s="394"/>
      <c r="Q19" s="129" t="s">
        <v>491</v>
      </c>
      <c r="R19" s="121">
        <v>1.5</v>
      </c>
      <c r="S19" s="50">
        <v>6</v>
      </c>
      <c r="T19" s="121">
        <v>0</v>
      </c>
      <c r="U19" s="121">
        <v>22.995000000000001</v>
      </c>
      <c r="V19" s="255">
        <v>1</v>
      </c>
      <c r="Y19" s="50">
        <f>U19*(0.001*44/28*V19+0.002*(W19+X19))</f>
        <v>3.6135E-2</v>
      </c>
      <c r="AA19" s="76"/>
    </row>
    <row r="20" spans="1:29" ht="14.25" x14ac:dyDescent="0.65">
      <c r="A20" s="883"/>
      <c r="B20" s="50" t="s">
        <v>390</v>
      </c>
      <c r="C20" s="397">
        <v>34506</v>
      </c>
      <c r="D20" s="398">
        <v>2130</v>
      </c>
      <c r="E20" s="398">
        <f>D20*$R$21*$E$6/1000</f>
        <v>89.46</v>
      </c>
      <c r="F20" s="398">
        <f>D20*(($S$21*$E$6+($T$21+$Y$21)*$F$6))/1000</f>
        <v>364.55959616505862</v>
      </c>
      <c r="G20" s="400">
        <f t="shared" si="2"/>
        <v>454.0195961650586</v>
      </c>
      <c r="H20" s="439">
        <f>G20+G16+G18</f>
        <v>499.8799515561825</v>
      </c>
      <c r="I20" s="439"/>
      <c r="J20" s="402"/>
      <c r="K20" s="394"/>
      <c r="L20" s="394"/>
      <c r="Q20" s="50" t="s">
        <v>387</v>
      </c>
      <c r="R20" s="121">
        <v>1.5</v>
      </c>
      <c r="S20" s="50">
        <v>6</v>
      </c>
      <c r="T20" s="121">
        <v>0</v>
      </c>
      <c r="U20" s="121">
        <v>22.995000000000001</v>
      </c>
      <c r="V20" s="255">
        <v>1</v>
      </c>
      <c r="Y20" s="50">
        <f>U20*(0.001*44/28*V20+0.002*(W20+X20))</f>
        <v>3.6135E-2</v>
      </c>
      <c r="AA20" s="76"/>
    </row>
    <row r="21" spans="1:29" ht="14.25" x14ac:dyDescent="0.65">
      <c r="A21" s="883"/>
      <c r="B21" s="50" t="s">
        <v>418</v>
      </c>
      <c r="C21" s="397">
        <f>SUM(C18:C20)</f>
        <v>38016</v>
      </c>
      <c r="D21" s="398">
        <f>SUM(D18:D20)</f>
        <v>2983</v>
      </c>
      <c r="E21" s="398">
        <f>SUM(E18:E20)</f>
        <v>125.286</v>
      </c>
      <c r="F21" s="398">
        <f>SUM(F18:F20)</f>
        <v>516.03173224005866</v>
      </c>
      <c r="G21" s="400">
        <f t="shared" si="2"/>
        <v>641.3177322400586</v>
      </c>
      <c r="H21" s="439">
        <f>G21</f>
        <v>641.3177322400586</v>
      </c>
      <c r="I21" s="439">
        <f>D21+I17</f>
        <v>3546</v>
      </c>
      <c r="J21" s="374"/>
      <c r="K21" s="403"/>
      <c r="L21" s="403"/>
      <c r="Q21" s="50" t="s">
        <v>390</v>
      </c>
      <c r="R21" s="121">
        <v>1.5</v>
      </c>
      <c r="S21" s="50">
        <v>6.0000000733937204</v>
      </c>
      <c r="T21" s="121">
        <v>0</v>
      </c>
      <c r="U21" s="121">
        <v>7.5757000000000003</v>
      </c>
      <c r="V21" s="255">
        <v>1</v>
      </c>
      <c r="Y21" s="50">
        <f>U21*(0.001*44/28*V21+0.002*(W21+X21))</f>
        <v>1.1904671428571429E-2</v>
      </c>
      <c r="AA21" s="76"/>
    </row>
    <row r="22" spans="1:29" ht="14.25" x14ac:dyDescent="0.65">
      <c r="A22" s="883"/>
      <c r="B22" s="50" t="s">
        <v>413</v>
      </c>
      <c r="C22" s="397">
        <v>67239</v>
      </c>
      <c r="D22" s="398">
        <v>700</v>
      </c>
      <c r="E22" s="398">
        <f>D22*$R$23*$E$6/1000</f>
        <v>352.80002811970957</v>
      </c>
      <c r="F22" s="398">
        <f>D22*(($S$23*$E$6+($T$23+$Y$23)*$F$6))/1000</f>
        <v>37.553459174503004</v>
      </c>
      <c r="G22" s="400">
        <f t="shared" si="2"/>
        <v>390.35348729421258</v>
      </c>
      <c r="H22" s="439">
        <f>G21+G22</f>
        <v>1031.6712195342711</v>
      </c>
      <c r="I22" s="439">
        <f>I21+D22</f>
        <v>4246</v>
      </c>
      <c r="J22" s="374"/>
      <c r="K22" s="403"/>
      <c r="L22" s="403"/>
      <c r="Q22" s="50" t="s">
        <v>418</v>
      </c>
      <c r="R22" s="121"/>
      <c r="T22" s="121"/>
      <c r="U22" s="121"/>
      <c r="V22" s="255"/>
      <c r="AA22" s="76"/>
    </row>
    <row r="23" spans="1:29" ht="14.25" x14ac:dyDescent="0.65">
      <c r="A23" s="883"/>
      <c r="B23" s="50" t="s">
        <v>420</v>
      </c>
      <c r="C23" s="397">
        <v>1188</v>
      </c>
      <c r="D23" s="398">
        <v>30</v>
      </c>
      <c r="E23" s="398">
        <f>D23*$R$24*$E$6/1000</f>
        <v>4.2</v>
      </c>
      <c r="F23" s="398">
        <f>D23*(($S$24*$E$6+($T$24+$Y$24)*$F$6))/1000</f>
        <v>1.285928625882</v>
      </c>
      <c r="G23" s="400">
        <f t="shared" si="2"/>
        <v>5.4859286258819999</v>
      </c>
      <c r="H23" s="439">
        <f>SUM(G21:G23)</f>
        <v>1037.1571481601532</v>
      </c>
      <c r="I23" s="439">
        <f>D23+I22</f>
        <v>4276</v>
      </c>
      <c r="J23" s="374"/>
      <c r="K23" s="403"/>
      <c r="L23" s="403"/>
      <c r="Q23" s="50" t="s">
        <v>413</v>
      </c>
      <c r="R23" s="121">
        <v>18.00000143467906</v>
      </c>
      <c r="S23" s="50">
        <v>1.0900001434679101</v>
      </c>
      <c r="T23" s="121">
        <v>3.0389120972139999E-2</v>
      </c>
      <c r="U23" s="121">
        <v>28.442788199999999</v>
      </c>
      <c r="W23" s="255">
        <v>0.14000000000000001</v>
      </c>
      <c r="X23" s="255">
        <v>0.86</v>
      </c>
      <c r="Y23" s="50">
        <f>U23*(0.001*44/28*V23+0.002*(W23+X23))</f>
        <v>5.6885576399999999E-2</v>
      </c>
      <c r="AA23" s="76"/>
    </row>
    <row r="24" spans="1:29" ht="15" thickBot="1" x14ac:dyDescent="0.8">
      <c r="A24" s="884"/>
      <c r="B24" s="50" t="s">
        <v>490</v>
      </c>
      <c r="C24" s="405">
        <v>1042468</v>
      </c>
      <c r="D24" s="406">
        <v>63042</v>
      </c>
      <c r="E24" s="398">
        <f>D24*$R$25*$E$6/1000</f>
        <v>35.303498817887991</v>
      </c>
      <c r="F24" s="398">
        <f>D24*(($S$25*$E$6+($T$25+$Y$25)*$F$6))/1000</f>
        <v>350.60690523249224</v>
      </c>
      <c r="G24" s="444">
        <f t="shared" si="2"/>
        <v>385.91040405038024</v>
      </c>
      <c r="H24" s="439">
        <f>SUM(G21:G24)+G17+G13</f>
        <v>1829.6519397420798</v>
      </c>
      <c r="I24" s="439">
        <f>I23+D24</f>
        <v>67318</v>
      </c>
      <c r="J24" s="374"/>
      <c r="K24" s="403"/>
      <c r="L24" s="403"/>
      <c r="Q24" s="50" t="s">
        <v>420</v>
      </c>
      <c r="R24" s="121">
        <v>5</v>
      </c>
      <c r="S24" s="121">
        <v>0.1200001148</v>
      </c>
      <c r="T24" s="121">
        <v>0.10842637099999999</v>
      </c>
      <c r="U24" s="121">
        <v>20.3232</v>
      </c>
      <c r="V24" s="255"/>
      <c r="W24" s="255">
        <v>0.55000000000000004</v>
      </c>
      <c r="X24" s="255">
        <v>0.45</v>
      </c>
      <c r="Y24" s="50">
        <f>U24*(0.001*44/28*V24+0.002*(W24+X24))</f>
        <v>4.0646399999999999E-2</v>
      </c>
      <c r="AA24" s="76"/>
    </row>
    <row r="25" spans="1:29" ht="15" thickBot="1" x14ac:dyDescent="0.8">
      <c r="A25" s="409" t="s">
        <v>21</v>
      </c>
      <c r="B25" s="410">
        <f>A9</f>
        <v>2016</v>
      </c>
      <c r="C25" s="411">
        <f>SUM(C21:C24)</f>
        <v>1148911</v>
      </c>
      <c r="D25" s="411"/>
      <c r="E25" s="445">
        <f>SUM(E21:E24)+E17+E13</f>
        <v>849.09157410489627</v>
      </c>
      <c r="F25" s="445">
        <f>SUM(F21:F24)+F17+F13</f>
        <v>980.56036563718328</v>
      </c>
      <c r="G25" s="412">
        <f>E25+F25</f>
        <v>1829.6519397420795</v>
      </c>
      <c r="H25" s="412">
        <f>H24</f>
        <v>1829.6519397420798</v>
      </c>
      <c r="I25" s="412">
        <f>SUM(I21:I24)</f>
        <v>79386</v>
      </c>
      <c r="J25" s="413"/>
      <c r="K25" s="414"/>
      <c r="L25" s="414"/>
      <c r="Q25" s="50" t="s">
        <v>421</v>
      </c>
      <c r="R25" s="121">
        <v>1.9999988E-2</v>
      </c>
      <c r="S25" s="121">
        <v>0.17817542</v>
      </c>
      <c r="T25" s="121">
        <v>8.9452384050000004E-4</v>
      </c>
      <c r="U25" s="121">
        <v>0.63305800000000001</v>
      </c>
      <c r="W25" s="255">
        <v>1</v>
      </c>
      <c r="Y25" s="50">
        <f>U25*(0.001*44/28*V25+0.002*(W25+X25))</f>
        <v>1.2661160000000001E-3</v>
      </c>
      <c r="AA25" s="76"/>
    </row>
    <row r="26" spans="1:29" ht="14.25" x14ac:dyDescent="0.65">
      <c r="A26" s="883">
        <v>2017</v>
      </c>
      <c r="B26" s="50" t="s">
        <v>385</v>
      </c>
      <c r="C26" s="389">
        <v>365765</v>
      </c>
      <c r="D26" s="390">
        <v>222</v>
      </c>
      <c r="E26" s="390">
        <f>D26*$R$10*$E$6/1000</f>
        <v>69.29359441987269</v>
      </c>
      <c r="F26" s="390">
        <f>D26*(($S$10*$E$6+($T$10+$Y$10)*$F$6))/1000</f>
        <v>13.272029522130357</v>
      </c>
      <c r="G26" s="392">
        <f>E26+F26</f>
        <v>82.565623942003043</v>
      </c>
      <c r="H26" s="438">
        <f>G26</f>
        <v>82.565623942003043</v>
      </c>
      <c r="I26" s="438"/>
      <c r="J26" s="899" t="s">
        <v>244</v>
      </c>
      <c r="K26" s="449"/>
      <c r="L26" s="416">
        <f>(G26-G9)/G9</f>
        <v>-0.10121457489878551</v>
      </c>
      <c r="Y26" s="121"/>
      <c r="Z26" s="121"/>
      <c r="AA26" s="76"/>
    </row>
    <row r="27" spans="1:29" ht="14.25" x14ac:dyDescent="0.65">
      <c r="A27" s="883"/>
      <c r="B27" s="50" t="s">
        <v>388</v>
      </c>
      <c r="C27" s="397">
        <v>11832</v>
      </c>
      <c r="D27" s="398">
        <v>19</v>
      </c>
      <c r="E27" s="398">
        <f>D27*$R$11*$E$6/1000</f>
        <v>6.3547452764122454</v>
      </c>
      <c r="F27" s="398">
        <f>D27*(($S$11*$E$6+($T$11+$Y$11)*$F$6))/1000</f>
        <v>1.4790827213136368</v>
      </c>
      <c r="G27" s="400">
        <f>E27+F27</f>
        <v>7.8338279977258818</v>
      </c>
      <c r="H27" s="439">
        <f>G27+G26</f>
        <v>90.39945193972892</v>
      </c>
      <c r="I27" s="439"/>
      <c r="J27" s="899"/>
      <c r="K27" s="450"/>
      <c r="L27" s="416">
        <f t="shared" ref="L27:L41" si="3">(G27-G10)/G10</f>
        <v>0.46153846153846129</v>
      </c>
    </row>
    <row r="28" spans="1:29" ht="14.25" x14ac:dyDescent="0.65">
      <c r="A28" s="883"/>
      <c r="B28" s="50" t="s">
        <v>394</v>
      </c>
      <c r="C28" s="397">
        <f>82187</f>
        <v>82187</v>
      </c>
      <c r="D28" s="398">
        <f>67</f>
        <v>67</v>
      </c>
      <c r="E28" s="398">
        <f>D28*$R$12*$E$6/1000</f>
        <v>17.726715664730023</v>
      </c>
      <c r="F28" s="398">
        <f>D28*(($S$12*$E$6+($T$12+$Y$12)*$F$6))/1000</f>
        <v>2.6628802047630145</v>
      </c>
      <c r="G28" s="400">
        <f>E28+F28</f>
        <v>20.389595869493036</v>
      </c>
      <c r="H28" s="439">
        <f>G28+G27+G26</f>
        <v>110.78904780922196</v>
      </c>
      <c r="I28" s="439"/>
      <c r="J28" s="899"/>
      <c r="K28" s="450"/>
      <c r="L28" s="416">
        <f t="shared" si="3"/>
        <v>0.31372549019607848</v>
      </c>
    </row>
    <row r="29" spans="1:29" ht="14.25" x14ac:dyDescent="0.65">
      <c r="A29" s="883"/>
      <c r="B29" s="50" t="s">
        <v>398</v>
      </c>
      <c r="C29" s="397">
        <f>82187*3</f>
        <v>246561</v>
      </c>
      <c r="D29" s="398">
        <f>67*3</f>
        <v>201</v>
      </c>
      <c r="E29" s="398">
        <f>D29*$R$13*$E$6/1000</f>
        <v>26.303976838941374</v>
      </c>
      <c r="F29" s="398">
        <f>D29*(($S$13*$E$6+($T$13+$Y$13)*$F$6))/1000</f>
        <v>1.3081733431978966</v>
      </c>
      <c r="G29" s="400">
        <f t="shared" ref="G29:G41" si="4">E29+F29</f>
        <v>27.612150182139271</v>
      </c>
      <c r="H29" s="439">
        <f>SUM(G26:G29)</f>
        <v>138.40119799136122</v>
      </c>
      <c r="I29" s="439"/>
      <c r="J29" s="899"/>
      <c r="K29" s="450"/>
      <c r="L29" s="416">
        <f t="shared" si="3"/>
        <v>0.31372549019607854</v>
      </c>
      <c r="N29" s="50" t="s">
        <v>405</v>
      </c>
      <c r="Z29" s="76"/>
    </row>
    <row r="30" spans="1:29" ht="14.25" x14ac:dyDescent="0.65">
      <c r="A30" s="883"/>
      <c r="B30" s="50" t="s">
        <v>401</v>
      </c>
      <c r="C30" s="397">
        <f>SUM(C26:C29)</f>
        <v>706345</v>
      </c>
      <c r="D30" s="398">
        <f>SUM(D26:D29)</f>
        <v>509</v>
      </c>
      <c r="E30" s="398">
        <f>SUM(E26:E29)</f>
        <v>119.67903219995634</v>
      </c>
      <c r="F30" s="398">
        <f>SUM(F26:F29)</f>
        <v>18.722165791404905</v>
      </c>
      <c r="G30" s="400">
        <f>E30+F30</f>
        <v>138.40119799136124</v>
      </c>
      <c r="H30" s="439">
        <f>G30</f>
        <v>138.40119799136124</v>
      </c>
      <c r="I30" s="439">
        <f>D30</f>
        <v>509</v>
      </c>
      <c r="J30" s="899"/>
      <c r="K30" s="450">
        <f>(D30-D13)/D13</f>
        <v>9.6982758620689655E-2</v>
      </c>
      <c r="L30" s="416">
        <f t="shared" si="3"/>
        <v>3.4681052367159119E-2</v>
      </c>
      <c r="P30" s="50" t="s">
        <v>406</v>
      </c>
      <c r="R30" s="50" t="s">
        <v>178</v>
      </c>
      <c r="S30" s="50" t="s">
        <v>403</v>
      </c>
      <c r="Z30" s="255">
        <v>0.1</v>
      </c>
    </row>
    <row r="31" spans="1:29" ht="14.25" x14ac:dyDescent="0.65">
      <c r="A31" s="883"/>
      <c r="B31" s="50" t="s">
        <v>492</v>
      </c>
      <c r="C31" s="397">
        <v>26742</v>
      </c>
      <c r="D31" s="398">
        <v>47</v>
      </c>
      <c r="E31" s="398">
        <f>D31*$R$15*$E$6/1000</f>
        <v>143.66179141999999</v>
      </c>
      <c r="F31" s="398">
        <f>D31*(($S$15*$E$6+($T$15+$Y$15)*$F$6))/1000</f>
        <v>43.165808591840658</v>
      </c>
      <c r="G31" s="400">
        <f t="shared" si="4"/>
        <v>186.82760001184064</v>
      </c>
      <c r="H31" s="439">
        <f>G31+G30</f>
        <v>325.22879800320186</v>
      </c>
      <c r="I31" s="439"/>
      <c r="J31" s="899"/>
      <c r="K31" s="450"/>
      <c r="L31" s="416">
        <f t="shared" si="3"/>
        <v>-4.0816326530612256E-2</v>
      </c>
      <c r="N31" s="50" t="s">
        <v>407</v>
      </c>
      <c r="O31" s="50" t="s">
        <v>408</v>
      </c>
      <c r="P31" s="50" t="s">
        <v>392</v>
      </c>
      <c r="Q31" s="50" t="s">
        <v>52</v>
      </c>
      <c r="R31" s="50" t="s">
        <v>52</v>
      </c>
      <c r="T31" s="50" t="s">
        <v>409</v>
      </c>
      <c r="U31" s="50" t="s">
        <v>410</v>
      </c>
      <c r="V31" s="50" t="s">
        <v>411</v>
      </c>
      <c r="AC31" s="50" t="s">
        <v>412</v>
      </c>
    </row>
    <row r="32" spans="1:29" ht="14.25" x14ac:dyDescent="0.65">
      <c r="A32" s="883"/>
      <c r="B32" s="50" t="s">
        <v>493</v>
      </c>
      <c r="C32" s="397">
        <v>19757</v>
      </c>
      <c r="D32" s="398">
        <v>10</v>
      </c>
      <c r="E32" s="398">
        <f>D32*$R$16*$E$6/1000</f>
        <v>20.651442424199995</v>
      </c>
      <c r="F32" s="398">
        <f>D32*(($S$16*$E$6+($T$16+$Y$16)*$F$6))/1000</f>
        <v>1.1104614066574399</v>
      </c>
      <c r="G32" s="400">
        <f t="shared" si="4"/>
        <v>21.761903830857435</v>
      </c>
      <c r="H32" s="439">
        <f>G32+G31+G30</f>
        <v>346.99070183405934</v>
      </c>
      <c r="I32" s="439"/>
      <c r="J32" s="899"/>
      <c r="K32" s="450"/>
      <c r="L32" s="416">
        <f t="shared" si="3"/>
        <v>-0.37500000000000017</v>
      </c>
      <c r="N32" s="50" t="s">
        <v>385</v>
      </c>
      <c r="O32" s="50">
        <v>91</v>
      </c>
      <c r="P32" s="77">
        <v>11.3285397553413</v>
      </c>
      <c r="Q32" s="121">
        <v>0.98551229379973004</v>
      </c>
      <c r="R32" s="50">
        <v>7.2979379999999996E-2</v>
      </c>
      <c r="S32" s="50">
        <v>20.170000000000002</v>
      </c>
      <c r="T32" s="255">
        <v>0.1925</v>
      </c>
      <c r="U32" s="255">
        <v>0.35749999999999998</v>
      </c>
      <c r="V32" s="255">
        <v>0.45</v>
      </c>
      <c r="W32" s="76">
        <f>(O32*((P32+Q32)*$Z$2+(R32)*$AB$2))/1000</f>
        <v>0</v>
      </c>
      <c r="Y32" s="121">
        <f>O32*P32*$Z$2/1000</f>
        <v>0</v>
      </c>
      <c r="Z32" s="50">
        <f>O32*((Q32*$Z$2+(R32+AC32)*$AB$2)*(U32+T32))/1000</f>
        <v>0</v>
      </c>
      <c r="AC32" s="50">
        <f t="shared" ref="AC32:AC38" si="5">S32*(0.001*44/28*T32+0.002*(U32+V32))</f>
        <v>3.8675975000000008E-2</v>
      </c>
    </row>
    <row r="33" spans="1:29" ht="14.25" x14ac:dyDescent="0.65">
      <c r="A33" s="883"/>
      <c r="B33" s="50" t="s">
        <v>395</v>
      </c>
      <c r="C33" s="397">
        <v>31765</v>
      </c>
      <c r="D33" s="398">
        <v>42</v>
      </c>
      <c r="E33" s="398">
        <f>D33*$R$17*$E$6/1000</f>
        <v>41.658897184799997</v>
      </c>
      <c r="F33" s="398">
        <f>D33*(($S$17*$E$6+($T$17+$Y$17)*$F$6))/1000</f>
        <v>11.737242104235438</v>
      </c>
      <c r="G33" s="441">
        <f t="shared" si="4"/>
        <v>53.396139289035432</v>
      </c>
      <c r="H33" s="439">
        <f>G33+G32+G31+G30</f>
        <v>400.38684112309477</v>
      </c>
      <c r="I33" s="439"/>
      <c r="J33" s="899"/>
      <c r="K33" s="450"/>
      <c r="L33" s="416">
        <f t="shared" si="3"/>
        <v>0.23529411764705863</v>
      </c>
      <c r="N33" s="50" t="s">
        <v>388</v>
      </c>
      <c r="O33" s="50">
        <v>5</v>
      </c>
      <c r="P33" s="77">
        <v>11.945009618499</v>
      </c>
      <c r="Q33" s="121">
        <v>1.09314132649256</v>
      </c>
      <c r="R33" s="50">
        <v>0.11514180857167</v>
      </c>
      <c r="S33" s="50">
        <v>29.47</v>
      </c>
      <c r="T33" s="255">
        <v>0.1925</v>
      </c>
      <c r="U33" s="255">
        <v>0.35749999999999998</v>
      </c>
      <c r="V33" s="255">
        <v>0.45</v>
      </c>
      <c r="W33" s="76">
        <f>(O33*((P33+Q33)*$Z$2+(R33)*$AB$2))/1000</f>
        <v>0</v>
      </c>
      <c r="Y33" s="121">
        <f>O33*P33*$Z$2/1000</f>
        <v>0</v>
      </c>
      <c r="Z33" s="50">
        <f>O33*((Q33*$Z$2+(R33+AC33)*$AB$2)*(U33+T33))/1000</f>
        <v>0</v>
      </c>
      <c r="AC33" s="50">
        <f t="shared" si="5"/>
        <v>5.6508725000000003E-2</v>
      </c>
    </row>
    <row r="34" spans="1:29" ht="14.25" x14ac:dyDescent="0.65">
      <c r="A34" s="883"/>
      <c r="B34" s="50" t="s">
        <v>417</v>
      </c>
      <c r="C34" s="397">
        <f>SUM(C31:C33)</f>
        <v>78264</v>
      </c>
      <c r="D34" s="398">
        <f>SUM(D31:D33)</f>
        <v>99</v>
      </c>
      <c r="E34" s="398">
        <f>SUM(E31:E33)</f>
        <v>205.97213102899997</v>
      </c>
      <c r="F34" s="398">
        <f>SUM(F31:F33)</f>
        <v>56.013512102733543</v>
      </c>
      <c r="G34" s="441">
        <f>E34+F34</f>
        <v>261.98564313173353</v>
      </c>
      <c r="H34" s="439">
        <f>G34+G30</f>
        <v>400.38684112309477</v>
      </c>
      <c r="I34" s="439">
        <f>D34+I30</f>
        <v>608</v>
      </c>
      <c r="J34" s="899"/>
      <c r="K34" s="450">
        <f>(D34-D17)/D17</f>
        <v>0</v>
      </c>
      <c r="L34" s="416">
        <f t="shared" si="3"/>
        <v>-3.9720226672765112E-2</v>
      </c>
      <c r="N34" s="50" t="s">
        <v>394</v>
      </c>
      <c r="O34" s="50">
        <v>20</v>
      </c>
      <c r="P34" s="77">
        <v>9.4000196709058201</v>
      </c>
      <c r="Q34" s="121">
        <v>0.81948295137819005</v>
      </c>
      <c r="R34" s="50">
        <v>3.2046688928570002E-2</v>
      </c>
      <c r="S34" s="50">
        <v>11.13</v>
      </c>
      <c r="T34" s="255">
        <v>0.1925</v>
      </c>
      <c r="U34" s="255">
        <v>0.35749999999999998</v>
      </c>
      <c r="V34" s="255">
        <v>0.45</v>
      </c>
      <c r="W34" s="76">
        <f>(O34*((P34+Q34)*$Z$2+(R34)*$AB$2))/1000</f>
        <v>0</v>
      </c>
      <c r="Y34" s="121">
        <f>O34*P34*$Z$2/1000</f>
        <v>0</v>
      </c>
      <c r="Z34" s="50">
        <f>O34*((Q34*$Z$2+(R34+AC34)*$AB$2)*(U34+T34))/1000</f>
        <v>0</v>
      </c>
      <c r="AC34" s="50">
        <f t="shared" si="5"/>
        <v>2.1341775000000004E-2</v>
      </c>
    </row>
    <row r="35" spans="1:29" ht="14.25" x14ac:dyDescent="0.65">
      <c r="A35" s="883"/>
      <c r="B35" s="50" t="s">
        <v>491</v>
      </c>
      <c r="C35" s="397">
        <v>68</v>
      </c>
      <c r="D35" s="398">
        <v>13</v>
      </c>
      <c r="E35" s="398">
        <f>D35*$R$20*$E$6/1000</f>
        <v>0.54600000000000004</v>
      </c>
      <c r="F35" s="398">
        <f>D35*(($S$20*$E$6+($T$20+$Y$19)*$F$6))/1000</f>
        <v>2.3084850750000001</v>
      </c>
      <c r="G35" s="441">
        <f>E35+F35</f>
        <v>2.8544850750000004</v>
      </c>
      <c r="H35" s="439">
        <f>H34+G35</f>
        <v>403.24132619809478</v>
      </c>
      <c r="I35" s="439"/>
      <c r="J35" s="899"/>
      <c r="K35" s="450"/>
      <c r="L35" s="416">
        <f t="shared" si="3"/>
        <v>8.3333333333333509E-2</v>
      </c>
      <c r="N35" s="50" t="s">
        <v>398</v>
      </c>
      <c r="O35" s="50">
        <v>173</v>
      </c>
      <c r="P35" s="77">
        <v>2.8365940572513599</v>
      </c>
      <c r="Q35" s="121">
        <v>5.121712047094E-2</v>
      </c>
      <c r="R35" s="50">
        <v>0</v>
      </c>
      <c r="S35" s="50">
        <v>6.52</v>
      </c>
      <c r="V35" s="255">
        <v>1</v>
      </c>
      <c r="W35" s="76">
        <f>(O35*((P35+Q35)*$Z$2+(R35)*$AB$2))/1000</f>
        <v>0</v>
      </c>
      <c r="Y35" s="121">
        <f>O35*P35*$Z$2/1000</f>
        <v>0</v>
      </c>
      <c r="Z35" s="50">
        <f>O35*((Q35*$Z$2+(R35+AC35)*$AB$2)*(U35+T35))/1000</f>
        <v>0</v>
      </c>
      <c r="AC35" s="50">
        <f t="shared" si="5"/>
        <v>1.304E-2</v>
      </c>
    </row>
    <row r="36" spans="1:29" ht="14.25" x14ac:dyDescent="0.65">
      <c r="A36" s="883"/>
      <c r="B36" s="50" t="s">
        <v>387</v>
      </c>
      <c r="C36" s="397">
        <v>3508</v>
      </c>
      <c r="D36" s="398">
        <v>815</v>
      </c>
      <c r="E36" s="398">
        <f>D36*$R$20*$E$6/1000</f>
        <v>34.229999999999997</v>
      </c>
      <c r="F36" s="398">
        <f>D36*(($S$20*$E$6+($T$20+$Y$20)*$F$6))/1000</f>
        <v>144.72425662499998</v>
      </c>
      <c r="G36" s="400">
        <f t="shared" si="4"/>
        <v>178.95425662499997</v>
      </c>
      <c r="H36" s="439">
        <f>G36+G34+G33+G35</f>
        <v>497.19052412076894</v>
      </c>
      <c r="I36" s="439"/>
      <c r="J36" s="899"/>
      <c r="K36" s="450"/>
      <c r="L36" s="416">
        <f t="shared" si="3"/>
        <v>-3.0915576694411563E-2</v>
      </c>
      <c r="N36" s="50" t="s">
        <v>401</v>
      </c>
      <c r="O36" s="50">
        <v>289</v>
      </c>
      <c r="P36" s="77"/>
      <c r="W36" s="76">
        <f>SUM(W32:W35)</f>
        <v>0</v>
      </c>
      <c r="Y36" s="121">
        <f>SUM(Y32:Y35)</f>
        <v>0</v>
      </c>
      <c r="Z36" s="121">
        <f>SUM(Z32:Z35)</f>
        <v>0</v>
      </c>
      <c r="AA36" s="121">
        <f>SUM(Y36:Z36)</f>
        <v>0</v>
      </c>
      <c r="AC36" s="50">
        <f t="shared" si="5"/>
        <v>0</v>
      </c>
    </row>
    <row r="37" spans="1:29" ht="14.25" x14ac:dyDescent="0.65">
      <c r="A37" s="883"/>
      <c r="B37" s="50" t="s">
        <v>390</v>
      </c>
      <c r="C37" s="397">
        <v>36949</v>
      </c>
      <c r="D37" s="398">
        <v>4026</v>
      </c>
      <c r="E37" s="398">
        <f>D37*$R$21*$E$6/1000</f>
        <v>169.09200000000001</v>
      </c>
      <c r="F37" s="398">
        <f>D37*(($S$21*$E$6+($T$21+$Y$21)*$F$6))/1000</f>
        <v>689.06898317395576</v>
      </c>
      <c r="G37" s="400">
        <f t="shared" si="4"/>
        <v>858.16098317395574</v>
      </c>
      <c r="H37" s="439">
        <f>G37+G33+G35</f>
        <v>914.41160753799113</v>
      </c>
      <c r="I37" s="439"/>
      <c r="J37" s="899"/>
      <c r="K37" s="450"/>
      <c r="L37" s="416">
        <f t="shared" si="3"/>
        <v>0.89014084507042235</v>
      </c>
      <c r="P37" s="77"/>
      <c r="W37" s="76"/>
      <c r="Y37" s="121"/>
      <c r="Z37" s="121"/>
      <c r="AA37" s="121"/>
    </row>
    <row r="38" spans="1:29" ht="14.25" x14ac:dyDescent="0.65">
      <c r="A38" s="883"/>
      <c r="B38" s="50" t="s">
        <v>418</v>
      </c>
      <c r="C38" s="397">
        <f>SUM(C35:C37)</f>
        <v>40525</v>
      </c>
      <c r="D38" s="398">
        <f>SUM(D35:D37)</f>
        <v>4854</v>
      </c>
      <c r="E38" s="398">
        <f>SUM(E35:E37)</f>
        <v>203.86799999999999</v>
      </c>
      <c r="F38" s="398">
        <f>SUM(F35:F37)</f>
        <v>836.10172487395573</v>
      </c>
      <c r="G38" s="400">
        <f t="shared" si="4"/>
        <v>1039.9697248739558</v>
      </c>
      <c r="H38" s="439">
        <f>G38</f>
        <v>1039.9697248739558</v>
      </c>
      <c r="I38" s="439">
        <f>D38+I34</f>
        <v>5462</v>
      </c>
      <c r="J38" s="899"/>
      <c r="K38" s="450">
        <f>(D38-D21)/D21</f>
        <v>0.62722091853838413</v>
      </c>
      <c r="L38" s="416">
        <f t="shared" si="3"/>
        <v>0.62161386251000061</v>
      </c>
      <c r="N38" s="50" t="s">
        <v>413</v>
      </c>
      <c r="O38" s="50">
        <v>861</v>
      </c>
      <c r="P38" s="77">
        <v>17.999998250185701</v>
      </c>
      <c r="Q38" s="50">
        <v>1.08999983348348</v>
      </c>
      <c r="R38" s="50">
        <v>3.0435187224019999E-2</v>
      </c>
      <c r="S38" s="50">
        <v>28.48</v>
      </c>
      <c r="U38" s="255">
        <v>0.14000000000000001</v>
      </c>
      <c r="V38" s="255">
        <v>0.86</v>
      </c>
      <c r="W38" s="76">
        <f>(O38*((P38+Q38)*28+(R38)*265))/1000</f>
        <v>467.16591829406514</v>
      </c>
      <c r="Y38" s="121">
        <f>O38*P38*$Z$2/1000</f>
        <v>0</v>
      </c>
      <c r="Z38" s="50">
        <f>O38*((Q38*$Z$2+(R38+AC38)*$AB$2)*(U38+T38))/1000</f>
        <v>0</v>
      </c>
      <c r="AA38" s="121">
        <f>SUM(Y38:Z38)</f>
        <v>0</v>
      </c>
      <c r="AC38" s="50">
        <f t="shared" si="5"/>
        <v>5.6960000000000004E-2</v>
      </c>
    </row>
    <row r="39" spans="1:29" ht="14.25" x14ac:dyDescent="0.65">
      <c r="A39" s="883"/>
      <c r="B39" s="50" t="s">
        <v>413</v>
      </c>
      <c r="C39" s="397">
        <v>64816</v>
      </c>
      <c r="D39" s="398">
        <v>687</v>
      </c>
      <c r="E39" s="398">
        <f>D39*$R$23*$E$6/1000</f>
        <v>346.24802759748638</v>
      </c>
      <c r="F39" s="398">
        <f>D39*(($S$23*$E$6+($T$23+$Y$23)*$F$6))/1000</f>
        <v>36.856037789833657</v>
      </c>
      <c r="G39" s="400">
        <f t="shared" si="4"/>
        <v>383.10406538732002</v>
      </c>
      <c r="H39" s="439">
        <f>G38+G39</f>
        <v>1423.0737902612759</v>
      </c>
      <c r="I39" s="439">
        <f>I38+D39</f>
        <v>6149</v>
      </c>
      <c r="J39" s="899"/>
      <c r="K39" s="450">
        <f>(D39-D22)/D22</f>
        <v>-1.8571428571428572E-2</v>
      </c>
      <c r="L39" s="416">
        <f t="shared" si="3"/>
        <v>-1.8571428571428687E-2</v>
      </c>
      <c r="P39" s="77"/>
      <c r="U39" s="255"/>
      <c r="V39" s="255"/>
      <c r="W39" s="76"/>
      <c r="Y39" s="121"/>
      <c r="AA39" s="121"/>
    </row>
    <row r="40" spans="1:29" ht="14.25" x14ac:dyDescent="0.65">
      <c r="A40" s="883"/>
      <c r="B40" s="50" t="s">
        <v>420</v>
      </c>
      <c r="C40" s="397">
        <v>1300</v>
      </c>
      <c r="D40" s="398">
        <v>30</v>
      </c>
      <c r="E40" s="398">
        <f>D40*$R$24*$E$6/1000</f>
        <v>4.2</v>
      </c>
      <c r="F40" s="398">
        <f>D40*(($S$24*$E$6+($T$24+$Y$24)*$F$6))/1000</f>
        <v>1.285928625882</v>
      </c>
      <c r="G40" s="400">
        <f t="shared" si="4"/>
        <v>5.4859286258819999</v>
      </c>
      <c r="H40" s="439">
        <f>SUM(G38:G40)</f>
        <v>1428.5597188871579</v>
      </c>
      <c r="I40" s="439">
        <f>D40+I39</f>
        <v>6179</v>
      </c>
      <c r="J40" s="899"/>
      <c r="K40" s="450">
        <f>(D40-D23)/D23</f>
        <v>0</v>
      </c>
      <c r="L40" s="416">
        <f t="shared" si="3"/>
        <v>0</v>
      </c>
      <c r="Y40" s="50">
        <f>O32*((31.37+6.92)*28+241.39*265)/1000</f>
        <v>5918.6827700000003</v>
      </c>
    </row>
    <row r="41" spans="1:29" ht="15" thickBot="1" x14ac:dyDescent="0.8">
      <c r="A41" s="898"/>
      <c r="B41" s="50" t="s">
        <v>421</v>
      </c>
      <c r="C41" s="405">
        <v>910282</v>
      </c>
      <c r="D41" s="406">
        <v>68038</v>
      </c>
      <c r="E41" s="398">
        <f>D41*$R$25*$E$6/1000</f>
        <v>38.101257139232004</v>
      </c>
      <c r="F41" s="398">
        <f>D41*(($S$25*$E$6+($T$25+$Y$25)*$F$6))/1000</f>
        <v>378.39206589588383</v>
      </c>
      <c r="G41" s="444">
        <f t="shared" si="4"/>
        <v>416.49332303511585</v>
      </c>
      <c r="H41" s="439">
        <f>SUM(G38:G41)+G34+G30</f>
        <v>2245.4398830453683</v>
      </c>
      <c r="I41" s="439">
        <f>I40+D41</f>
        <v>74217</v>
      </c>
      <c r="J41" s="899"/>
      <c r="K41" s="450">
        <f>(D41-D24)/D24</f>
        <v>7.9248754798388374E-2</v>
      </c>
      <c r="L41" s="416">
        <f t="shared" si="3"/>
        <v>7.9248754798388499E-2</v>
      </c>
    </row>
    <row r="42" spans="1:29" ht="15" thickBot="1" x14ac:dyDescent="0.75">
      <c r="A42" s="409" t="s">
        <v>21</v>
      </c>
      <c r="B42" s="410">
        <f>A26</f>
        <v>2017</v>
      </c>
      <c r="C42" s="411">
        <f>SUM(C38:C41)</f>
        <v>1016923</v>
      </c>
      <c r="D42" s="411"/>
      <c r="E42" s="445">
        <f>SUM(E38:E41)+E34+E30</f>
        <v>918.06844796567475</v>
      </c>
      <c r="F42" s="445">
        <f>SUM(F38:F41)+F34+F30</f>
        <v>1327.3714350796936</v>
      </c>
      <c r="G42" s="412">
        <f t="shared" ref="G42:G52" si="6">E42+F42</f>
        <v>2245.4398830453683</v>
      </c>
      <c r="H42" s="412">
        <f>H41</f>
        <v>2245.4398830453683</v>
      </c>
      <c r="I42" s="412">
        <f>SUM(I38:I41)</f>
        <v>92007</v>
      </c>
      <c r="J42" s="900"/>
      <c r="K42" s="427">
        <f>(I42-I25)/I25</f>
        <v>0.15898269216234601</v>
      </c>
      <c r="L42" s="428">
        <f>(G42-G25)/G25</f>
        <v>0.227249748584368</v>
      </c>
      <c r="N42" s="50" t="s">
        <v>380</v>
      </c>
      <c r="R42" s="50" t="s">
        <v>381</v>
      </c>
      <c r="U42" s="50" t="s">
        <v>382</v>
      </c>
      <c r="W42" s="50" t="s">
        <v>383</v>
      </c>
    </row>
    <row r="43" spans="1:29" ht="14.25" x14ac:dyDescent="0.65">
      <c r="A43" s="883">
        <v>2018</v>
      </c>
      <c r="B43" s="50" t="s">
        <v>385</v>
      </c>
      <c r="C43" s="389">
        <v>345103</v>
      </c>
      <c r="D43" s="390">
        <v>158</v>
      </c>
      <c r="E43" s="390">
        <f>D43*$R$10*$E$6/1000</f>
        <v>49.317062695224713</v>
      </c>
      <c r="F43" s="390">
        <f>D43*(($S$10*$E$6+($T$10+$Y$10)*$F$6))/1000</f>
        <v>9.445858849083768</v>
      </c>
      <c r="G43" s="392">
        <f t="shared" si="6"/>
        <v>58.762921544308483</v>
      </c>
      <c r="H43" s="438">
        <f>G43</f>
        <v>58.762921544308483</v>
      </c>
      <c r="I43" s="438"/>
      <c r="J43" s="899" t="s">
        <v>244</v>
      </c>
      <c r="K43" s="449"/>
      <c r="L43" s="416">
        <f>(G43-G26)/G26</f>
        <v>-0.28828828828828817</v>
      </c>
      <c r="N43" s="50" t="s">
        <v>385</v>
      </c>
      <c r="O43" s="50">
        <v>344795</v>
      </c>
      <c r="P43" s="164">
        <f>O43/$O$47</f>
        <v>0.52383817298153024</v>
      </c>
      <c r="R43" s="50" t="s">
        <v>386</v>
      </c>
      <c r="S43" s="50">
        <v>26477</v>
      </c>
      <c r="T43" s="164">
        <f>S43/$S$46</f>
        <v>0.32458043715445062</v>
      </c>
      <c r="W43" s="50" t="s">
        <v>387</v>
      </c>
      <c r="X43" s="50">
        <v>3323</v>
      </c>
      <c r="Y43" s="164">
        <f>X43/X45</f>
        <v>8.2501613784199818E-2</v>
      </c>
    </row>
    <row r="44" spans="1:29" ht="14.25" x14ac:dyDescent="0.65">
      <c r="A44" s="883"/>
      <c r="B44" s="50" t="s">
        <v>388</v>
      </c>
      <c r="C44" s="397">
        <v>11617</v>
      </c>
      <c r="D44" s="398">
        <v>16</v>
      </c>
      <c r="E44" s="398">
        <f>D44*$R$11*$E$6/1000</f>
        <v>5.3513644432945222</v>
      </c>
      <c r="F44" s="398">
        <f>D44*(($S$11*$E$6+($T$11+$Y$11)*$F$6))/1000</f>
        <v>1.2455433442641151</v>
      </c>
      <c r="G44" s="400">
        <f t="shared" si="6"/>
        <v>6.5969077875586368</v>
      </c>
      <c r="H44" s="439">
        <f>G44+G43</f>
        <v>65.359829331867118</v>
      </c>
      <c r="I44" s="439"/>
      <c r="J44" s="899"/>
      <c r="K44" s="450"/>
      <c r="L44" s="416">
        <f t="shared" ref="L44:L58" si="7">(G44-G27)/G27</f>
        <v>-0.15789473684210531</v>
      </c>
      <c r="N44" s="50" t="s">
        <v>388</v>
      </c>
      <c r="O44" s="50">
        <v>11595</v>
      </c>
      <c r="P44" s="164">
        <f>O44/$O$47</f>
        <v>1.7615985196191484E-2</v>
      </c>
      <c r="R44" s="50" t="s">
        <v>389</v>
      </c>
      <c r="S44" s="50">
        <v>2640</v>
      </c>
      <c r="T44" s="164">
        <f>S44/$S$46</f>
        <v>3.2363649737045343E-2</v>
      </c>
      <c r="U44" s="164">
        <f>S44/U46</f>
        <v>4.7916364164367647E-2</v>
      </c>
      <c r="W44" s="50" t="s">
        <v>390</v>
      </c>
      <c r="X44" s="50">
        <v>36955</v>
      </c>
      <c r="Y44" s="164">
        <f>X44/X45</f>
        <v>0.91749838621580015</v>
      </c>
    </row>
    <row r="45" spans="1:29" ht="14.25" x14ac:dyDescent="0.65">
      <c r="A45" s="883"/>
      <c r="B45" s="50" t="s">
        <v>394</v>
      </c>
      <c r="C45" s="397">
        <f>76272</f>
        <v>76272</v>
      </c>
      <c r="D45" s="398">
        <f>57</f>
        <v>57</v>
      </c>
      <c r="E45" s="398">
        <f>D45*$R$12*$E$6/1000</f>
        <v>15.080937207307628</v>
      </c>
      <c r="F45" s="398">
        <f>D45*(($S$12*$E$6+($T$12+$Y$12)*$F$6))/1000</f>
        <v>2.2654353980819675</v>
      </c>
      <c r="G45" s="400">
        <f t="shared" si="6"/>
        <v>17.346372605389597</v>
      </c>
      <c r="H45" s="439">
        <f>G45+G44+G43</f>
        <v>82.706201937256708</v>
      </c>
      <c r="I45" s="439"/>
      <c r="J45" s="899"/>
      <c r="K45" s="450"/>
      <c r="L45" s="416">
        <f t="shared" si="7"/>
        <v>-0.14925373134328362</v>
      </c>
      <c r="N45" s="50" t="s">
        <v>394</v>
      </c>
      <c r="O45" s="50">
        <v>76249</v>
      </c>
      <c r="P45" s="164">
        <f>O45/$O$47</f>
        <v>0.11584314404695165</v>
      </c>
      <c r="R45" s="50" t="s">
        <v>395</v>
      </c>
      <c r="S45" s="50">
        <v>52456</v>
      </c>
      <c r="T45" s="164">
        <f>S45/$S$46</f>
        <v>0.64305591310850407</v>
      </c>
      <c r="U45" s="164">
        <f>S45/U46</f>
        <v>0.95208363583563238</v>
      </c>
      <c r="X45" s="50">
        <f>X43+X44</f>
        <v>40278</v>
      </c>
    </row>
    <row r="46" spans="1:29" ht="14.25" x14ac:dyDescent="0.65">
      <c r="A46" s="883"/>
      <c r="B46" s="50" t="s">
        <v>398</v>
      </c>
      <c r="C46" s="397">
        <f>76272*3</f>
        <v>228816</v>
      </c>
      <c r="D46" s="398">
        <f>57*3</f>
        <v>171</v>
      </c>
      <c r="E46" s="398">
        <f>D46*$R$13*$E$6/1000</f>
        <v>22.378010146562062</v>
      </c>
      <c r="F46" s="398">
        <f>D46*(($S$13*$E$6+($T$13+$Y$13)*$F$6))/1000</f>
        <v>1.1129235904817927</v>
      </c>
      <c r="G46" s="400">
        <f t="shared" si="6"/>
        <v>23.490933737043854</v>
      </c>
      <c r="H46" s="439">
        <f>SUM(G43:G46)</f>
        <v>106.19713567430057</v>
      </c>
      <c r="I46" s="439"/>
      <c r="J46" s="899"/>
      <c r="K46" s="450"/>
      <c r="L46" s="416">
        <f t="shared" si="7"/>
        <v>-0.14925373134328371</v>
      </c>
      <c r="N46" s="50" t="s">
        <v>398</v>
      </c>
      <c r="O46" s="50">
        <v>225570</v>
      </c>
      <c r="P46" s="164">
        <f>O46/$O$47</f>
        <v>0.34270269777532669</v>
      </c>
      <c r="S46" s="50">
        <f>SUM(S43:S45)</f>
        <v>81573</v>
      </c>
      <c r="U46" s="50">
        <f>S44+S45</f>
        <v>55096</v>
      </c>
    </row>
    <row r="47" spans="1:29" ht="14.25" x14ac:dyDescent="0.65">
      <c r="A47" s="883"/>
      <c r="B47" s="50" t="s">
        <v>401</v>
      </c>
      <c r="C47" s="397">
        <f>SUM(C43:C46)</f>
        <v>661808</v>
      </c>
      <c r="D47" s="398">
        <f>SUM(D43:D46)</f>
        <v>402</v>
      </c>
      <c r="E47" s="398">
        <f>SUM(E43:E46)</f>
        <v>92.127374492388924</v>
      </c>
      <c r="F47" s="398">
        <f>SUM(F43:F46)</f>
        <v>14.069761181911645</v>
      </c>
      <c r="G47" s="400">
        <f t="shared" si="6"/>
        <v>106.19713567430057</v>
      </c>
      <c r="H47" s="439">
        <f>G47</f>
        <v>106.19713567430057</v>
      </c>
      <c r="I47" s="439">
        <f>D47</f>
        <v>402</v>
      </c>
      <c r="J47" s="899"/>
      <c r="K47" s="450">
        <f>(D47-D30)/D30</f>
        <v>-0.21021611001964635</v>
      </c>
      <c r="L47" s="416">
        <f t="shared" si="7"/>
        <v>-0.23268629740524929</v>
      </c>
      <c r="N47" s="50" t="s">
        <v>401</v>
      </c>
      <c r="O47" s="50">
        <f>SUM(O43:O46)</f>
        <v>658209</v>
      </c>
    </row>
    <row r="48" spans="1:29" ht="14.25" x14ac:dyDescent="0.65">
      <c r="A48" s="883"/>
      <c r="B48" s="50" t="s">
        <v>492</v>
      </c>
      <c r="C48" s="397">
        <v>26477</v>
      </c>
      <c r="D48" s="398">
        <v>50</v>
      </c>
      <c r="E48" s="398">
        <f>D48*$R$15*$E$6/1000</f>
        <v>152.83169300000003</v>
      </c>
      <c r="F48" s="398">
        <f>D48*(($S$15*$E$6+($T$15+$Y$15)*$F$6))/1000</f>
        <v>45.921072970043248</v>
      </c>
      <c r="G48" s="400">
        <f t="shared" si="6"/>
        <v>198.75276597004327</v>
      </c>
      <c r="H48" s="439">
        <f>G48+G47</f>
        <v>304.94990164434387</v>
      </c>
      <c r="I48" s="439"/>
      <c r="J48" s="899"/>
      <c r="K48" s="450"/>
      <c r="L48" s="416">
        <f t="shared" si="7"/>
        <v>6.3829787234042729E-2</v>
      </c>
    </row>
    <row r="49" spans="1:37" ht="14.25" x14ac:dyDescent="0.65">
      <c r="A49" s="883"/>
      <c r="B49" s="50" t="s">
        <v>493</v>
      </c>
      <c r="C49" s="397">
        <v>22908</v>
      </c>
      <c r="D49" s="398">
        <v>21</v>
      </c>
      <c r="E49" s="398">
        <f>D49*$R$16*$E$6/1000</f>
        <v>43.368029090819995</v>
      </c>
      <c r="F49" s="398">
        <f>D49*(($S$16*$E$6+($T$16+$Y$16)*$F$6))/1000</f>
        <v>2.3319689539806236</v>
      </c>
      <c r="G49" s="400">
        <f t="shared" si="6"/>
        <v>45.699998044800616</v>
      </c>
      <c r="H49" s="439">
        <f>G49+G48+G47</f>
        <v>350.64989968914449</v>
      </c>
      <c r="I49" s="439"/>
      <c r="J49" s="899"/>
      <c r="K49" s="450"/>
      <c r="L49" s="416">
        <f t="shared" si="7"/>
        <v>1.1000000000000001</v>
      </c>
      <c r="P49" s="50">
        <f>O46/(O45+O46)</f>
        <v>0.74736845592888457</v>
      </c>
    </row>
    <row r="50" spans="1:37" ht="14.25" x14ac:dyDescent="0.65">
      <c r="A50" s="883"/>
      <c r="B50" s="50" t="s">
        <v>395</v>
      </c>
      <c r="C50" s="397">
        <v>31691</v>
      </c>
      <c r="D50" s="398">
        <v>32</v>
      </c>
      <c r="E50" s="398">
        <f>D50*$R$17*$E$6/1000</f>
        <v>31.740112140800001</v>
      </c>
      <c r="F50" s="398">
        <f>D50*(($S$17*$E$6+($T$17+$Y$17)*$F$6))/1000</f>
        <v>8.9426606508460473</v>
      </c>
      <c r="G50" s="441">
        <f t="shared" si="6"/>
        <v>40.682772791646045</v>
      </c>
      <c r="H50" s="439">
        <f>G50+G49+G48+G47</f>
        <v>391.33267248079051</v>
      </c>
      <c r="I50" s="439"/>
      <c r="J50" s="899"/>
      <c r="K50" s="450"/>
      <c r="L50" s="416">
        <f t="shared" si="7"/>
        <v>-0.23809523809523808</v>
      </c>
      <c r="P50" s="50">
        <f>O45/(O45+O46)</f>
        <v>0.25263154407111549</v>
      </c>
    </row>
    <row r="51" spans="1:37" ht="14.25" x14ac:dyDescent="0.65">
      <c r="A51" s="883"/>
      <c r="B51" s="50" t="s">
        <v>417</v>
      </c>
      <c r="C51" s="397">
        <f>SUM(C48:C50)</f>
        <v>81076</v>
      </c>
      <c r="D51" s="398">
        <f>SUM(D48:D50)</f>
        <v>103</v>
      </c>
      <c r="E51" s="398">
        <f>SUM(E48:E50)</f>
        <v>227.93983423162001</v>
      </c>
      <c r="F51" s="398">
        <f>SUM(F48:F50)</f>
        <v>57.195702574869912</v>
      </c>
      <c r="G51" s="441">
        <f t="shared" si="6"/>
        <v>285.13553680648994</v>
      </c>
      <c r="H51" s="439">
        <f>G51+G47</f>
        <v>391.33267248079051</v>
      </c>
      <c r="I51" s="439">
        <f>D51+I47</f>
        <v>505</v>
      </c>
      <c r="J51" s="899"/>
      <c r="K51" s="450">
        <f>(D51-D34)/D34</f>
        <v>4.0404040404040407E-2</v>
      </c>
      <c r="L51" s="416">
        <f t="shared" si="7"/>
        <v>8.836321486180071E-2</v>
      </c>
      <c r="N51" s="50" t="s">
        <v>414</v>
      </c>
      <c r="W51" s="50" t="s">
        <v>422</v>
      </c>
      <c r="X51" s="50" t="s">
        <v>423</v>
      </c>
      <c r="Y51" s="50" t="s">
        <v>424</v>
      </c>
      <c r="Z51" s="50" t="s">
        <v>425</v>
      </c>
    </row>
    <row r="52" spans="1:37" ht="14.25" x14ac:dyDescent="0.65">
      <c r="A52" s="883"/>
      <c r="B52" s="50" t="s">
        <v>491</v>
      </c>
      <c r="C52" s="397">
        <v>53</v>
      </c>
      <c r="D52" s="398">
        <v>13</v>
      </c>
      <c r="E52" s="398">
        <f>D52*$R$20*$E$6/1000</f>
        <v>0.54600000000000004</v>
      </c>
      <c r="F52" s="398">
        <f>D52*(($S$20*$E$6+($T$20+$Y$19)*$F$6))/1000</f>
        <v>2.3084850750000001</v>
      </c>
      <c r="G52" s="441">
        <f t="shared" si="6"/>
        <v>2.8544850750000004</v>
      </c>
      <c r="H52" s="439">
        <f>H51+G52</f>
        <v>394.18715755579052</v>
      </c>
      <c r="I52" s="439"/>
      <c r="J52" s="899"/>
      <c r="K52" s="450"/>
      <c r="L52" s="416">
        <f t="shared" si="7"/>
        <v>0</v>
      </c>
      <c r="Q52" s="50" t="s">
        <v>406</v>
      </c>
      <c r="S52" s="50" t="s">
        <v>178</v>
      </c>
      <c r="V52" s="50" t="s">
        <v>386</v>
      </c>
      <c r="W52" s="50">
        <v>27380</v>
      </c>
      <c r="X52" s="50">
        <v>46</v>
      </c>
      <c r="Y52" s="162">
        <f t="shared" ref="Y52:Y60" si="8">X52/W52</f>
        <v>1.6800584368151935E-3</v>
      </c>
      <c r="AE52" s="50" t="s">
        <v>384</v>
      </c>
    </row>
    <row r="53" spans="1:37" ht="14.25" x14ac:dyDescent="0.65">
      <c r="A53" s="883"/>
      <c r="B53" s="50" t="s">
        <v>387</v>
      </c>
      <c r="C53" s="397">
        <v>3270</v>
      </c>
      <c r="D53" s="398">
        <v>801</v>
      </c>
      <c r="E53" s="398">
        <f>D53*$R$20*$E$6/1000</f>
        <v>33.642000000000003</v>
      </c>
      <c r="F53" s="398">
        <f>D53*(($S$20*$E$6+($T$20+$Y$20)*$F$6))/1000</f>
        <v>142.23819577500001</v>
      </c>
      <c r="G53" s="400">
        <f t="shared" ref="G53:G58" si="9">E53+F53</f>
        <v>175.880195775</v>
      </c>
      <c r="H53" s="439">
        <f>G53+G51+G50+G52</f>
        <v>504.55299044813597</v>
      </c>
      <c r="I53" s="439"/>
      <c r="J53" s="899"/>
      <c r="K53" s="450"/>
      <c r="L53" s="416">
        <f t="shared" si="7"/>
        <v>-1.7177914110429265E-2</v>
      </c>
      <c r="O53" s="50" t="s">
        <v>407</v>
      </c>
      <c r="P53" s="50" t="s">
        <v>408</v>
      </c>
      <c r="Q53" s="50" t="s">
        <v>392</v>
      </c>
      <c r="R53" s="50" t="s">
        <v>52</v>
      </c>
      <c r="S53" s="50" t="s">
        <v>52</v>
      </c>
      <c r="T53" s="76"/>
      <c r="V53" s="50" t="s">
        <v>428</v>
      </c>
      <c r="W53" s="50">
        <v>51248</v>
      </c>
      <c r="X53" s="50">
        <v>57</v>
      </c>
      <c r="Y53" s="162">
        <f t="shared" si="8"/>
        <v>1.1122385263815174E-3</v>
      </c>
    </row>
    <row r="54" spans="1:37" ht="14.25" x14ac:dyDescent="0.65">
      <c r="A54" s="883"/>
      <c r="B54" s="50" t="s">
        <v>390</v>
      </c>
      <c r="C54" s="397">
        <v>37169</v>
      </c>
      <c r="D54" s="398">
        <v>1867</v>
      </c>
      <c r="E54" s="398">
        <f>D54*$R$21*$E$6/1000</f>
        <v>78.414000000000001</v>
      </c>
      <c r="F54" s="398">
        <f>D54*(($S$21*$E$6+($T$21+$Y$21)*$F$6))/1000</f>
        <v>319.54589954937296</v>
      </c>
      <c r="G54" s="400">
        <f t="shared" si="9"/>
        <v>397.95989954937295</v>
      </c>
      <c r="H54" s="439">
        <f>G54+G50+G52</f>
        <v>441.49715741601898</v>
      </c>
      <c r="I54" s="439"/>
      <c r="J54" s="899"/>
      <c r="K54" s="450"/>
      <c r="L54" s="416">
        <f t="shared" si="7"/>
        <v>-0.53626428216592148</v>
      </c>
      <c r="O54" s="50" t="s">
        <v>385</v>
      </c>
      <c r="P54" s="50">
        <v>91</v>
      </c>
      <c r="Q54" s="121">
        <v>11.14761814991517</v>
      </c>
      <c r="R54" s="121">
        <v>1.0784697573920701</v>
      </c>
      <c r="S54" s="50">
        <v>7.2979379999999996E-2</v>
      </c>
      <c r="T54" s="76">
        <f>(P54*((Q54+R54)*$Z$2+(S54)*$AB$2))/1000</f>
        <v>0</v>
      </c>
      <c r="V54" s="50" t="s">
        <v>417</v>
      </c>
      <c r="W54" s="50">
        <f>W53+W52</f>
        <v>78628</v>
      </c>
      <c r="X54" s="50">
        <f>X53+X52</f>
        <v>103</v>
      </c>
      <c r="Y54" s="162">
        <f t="shared" si="8"/>
        <v>1.3099659154499669E-3</v>
      </c>
      <c r="Z54" s="50">
        <v>80895</v>
      </c>
      <c r="AA54" s="50">
        <f>$Y54*Z54</f>
        <v>105.96969273032506</v>
      </c>
      <c r="AB54" s="50" t="e">
        <f>#REF!</f>
        <v>#REF!</v>
      </c>
      <c r="AC54" s="50" t="e">
        <f>$Y54*AB54</f>
        <v>#REF!</v>
      </c>
      <c r="AG54" s="50" t="s">
        <v>177</v>
      </c>
      <c r="AH54" s="50" t="s">
        <v>178</v>
      </c>
      <c r="AI54" s="50" t="s">
        <v>391</v>
      </c>
    </row>
    <row r="55" spans="1:37" ht="14.25" x14ac:dyDescent="0.65">
      <c r="A55" s="883"/>
      <c r="B55" s="50" t="s">
        <v>418</v>
      </c>
      <c r="C55" s="397">
        <f>SUM(C52:C54)</f>
        <v>40492</v>
      </c>
      <c r="D55" s="398">
        <f>SUM(D52:D54)</f>
        <v>2681</v>
      </c>
      <c r="E55" s="398">
        <f>SUM(E52:E54)</f>
        <v>112.602</v>
      </c>
      <c r="F55" s="398">
        <f>SUM(F52:F54)</f>
        <v>464.09258039937299</v>
      </c>
      <c r="G55" s="400">
        <f t="shared" si="9"/>
        <v>576.69458039937297</v>
      </c>
      <c r="H55" s="439">
        <f>G55</f>
        <v>576.69458039937297</v>
      </c>
      <c r="I55" s="439">
        <f>D55+I51</f>
        <v>3186</v>
      </c>
      <c r="J55" s="899"/>
      <c r="K55" s="450">
        <f>(D55-D38)/D38</f>
        <v>-0.44767202307375359</v>
      </c>
      <c r="L55" s="416">
        <f t="shared" si="7"/>
        <v>-0.44546983762506326</v>
      </c>
      <c r="O55" s="50" t="s">
        <v>388</v>
      </c>
      <c r="P55" s="50">
        <v>5</v>
      </c>
      <c r="Q55" s="121">
        <v>11.945009918068131</v>
      </c>
      <c r="R55" s="121">
        <v>1.1556129322983999</v>
      </c>
      <c r="S55" s="50">
        <v>0.11514180857179999</v>
      </c>
      <c r="T55" s="76">
        <f>(P55*((Q55+R55)*$Z$2+(S55)*$AB$2))/1000</f>
        <v>0</v>
      </c>
      <c r="V55" s="50" t="s">
        <v>429</v>
      </c>
      <c r="W55" s="50">
        <v>480656</v>
      </c>
      <c r="X55" s="50">
        <v>328</v>
      </c>
      <c r="Y55" s="162">
        <f t="shared" si="8"/>
        <v>6.8240071901734295E-4</v>
      </c>
      <c r="Z55" s="50">
        <v>415619</v>
      </c>
      <c r="AA55" s="50">
        <f>$Y55*Z55</f>
        <v>283.61870443726906</v>
      </c>
      <c r="AB55" s="50" t="e">
        <f>#REF!</f>
        <v>#REF!</v>
      </c>
      <c r="AC55" s="50" t="e">
        <f>$Y55*AB55</f>
        <v>#REF!</v>
      </c>
      <c r="AE55" s="50" t="s">
        <v>396</v>
      </c>
      <c r="AG55" s="50">
        <v>1.1299999999999999</v>
      </c>
      <c r="AH55" s="50">
        <v>4.7000000000000002E-3</v>
      </c>
      <c r="AI55" s="50">
        <f>AG55*Z2+AH55*AB2</f>
        <v>0</v>
      </c>
    </row>
    <row r="56" spans="1:37" ht="14.25" x14ac:dyDescent="0.65">
      <c r="A56" s="883"/>
      <c r="B56" s="50" t="s">
        <v>413</v>
      </c>
      <c r="C56" s="397">
        <v>53453</v>
      </c>
      <c r="D56" s="398">
        <v>473</v>
      </c>
      <c r="E56" s="398">
        <f>D56*$R$23*$E$6/1000</f>
        <v>238.39201900088946</v>
      </c>
      <c r="F56" s="398">
        <f>D56*(($S$23*$E$6+($T$23+$Y$23)*$F$6))/1000</f>
        <v>25.375408842199885</v>
      </c>
      <c r="G56" s="400">
        <f t="shared" si="9"/>
        <v>263.76742784308937</v>
      </c>
      <c r="H56" s="439">
        <f>G55+G56</f>
        <v>840.46200824246239</v>
      </c>
      <c r="I56" s="439">
        <f>I55+D56</f>
        <v>3659</v>
      </c>
      <c r="J56" s="899"/>
      <c r="K56" s="450">
        <f>(D56-D39)/D39</f>
        <v>-0.31149927219796214</v>
      </c>
      <c r="L56" s="416">
        <f t="shared" si="7"/>
        <v>-0.31149927219796208</v>
      </c>
      <c r="O56" s="50" t="s">
        <v>394</v>
      </c>
      <c r="P56" s="50">
        <v>20</v>
      </c>
      <c r="Q56" s="121">
        <v>9.4492087765085397</v>
      </c>
      <c r="R56" s="121">
        <v>0.91415808731918002</v>
      </c>
      <c r="S56" s="50">
        <v>3.2046688928510002E-2</v>
      </c>
      <c r="T56" s="76">
        <f>(P56*((Q56+R56)*$Z$2+(S56)*$AB$2))/1000</f>
        <v>0</v>
      </c>
      <c r="Y56" s="162"/>
      <c r="AE56" s="50" t="s">
        <v>399</v>
      </c>
      <c r="AG56" s="50">
        <v>0.74</v>
      </c>
      <c r="AH56" s="50">
        <v>2.8E-3</v>
      </c>
    </row>
    <row r="57" spans="1:37" ht="14.25" x14ac:dyDescent="0.65">
      <c r="A57" s="883"/>
      <c r="B57" s="50" t="s">
        <v>420</v>
      </c>
      <c r="C57" s="397">
        <v>1493</v>
      </c>
      <c r="D57" s="398">
        <v>36</v>
      </c>
      <c r="E57" s="398">
        <f>D57*$R$24*$E$6/1000</f>
        <v>5.04</v>
      </c>
      <c r="F57" s="398">
        <f>D57*(($S$24*$E$6+($T$24+$Y$24)*$F$6))/1000</f>
        <v>1.5431143510584002</v>
      </c>
      <c r="G57" s="400">
        <f t="shared" si="9"/>
        <v>6.5831143510584003</v>
      </c>
      <c r="H57" s="439">
        <f>SUM(G55:G57)</f>
        <v>847.04512259352077</v>
      </c>
      <c r="I57" s="439">
        <f>D57+I56</f>
        <v>3695</v>
      </c>
      <c r="J57" s="899"/>
      <c r="K57" s="450">
        <f>(D57-D40)/D40</f>
        <v>0.2</v>
      </c>
      <c r="L57" s="416">
        <f t="shared" si="7"/>
        <v>0.20000000000000007</v>
      </c>
      <c r="O57" s="50" t="s">
        <v>398</v>
      </c>
      <c r="P57" s="50">
        <v>173</v>
      </c>
      <c r="Q57" s="121">
        <v>4.6737698718801299</v>
      </c>
      <c r="R57" s="121">
        <v>9.9161767965600001E-2</v>
      </c>
      <c r="T57" s="76">
        <f>(P57*((Q57+R57)*$Z$2+(S57)*$AB$2))/1000</f>
        <v>0</v>
      </c>
      <c r="V57" s="50" t="s">
        <v>430</v>
      </c>
      <c r="W57" s="50">
        <v>72626</v>
      </c>
      <c r="X57" s="50">
        <v>2879</v>
      </c>
      <c r="Y57" s="162">
        <f t="shared" si="8"/>
        <v>3.9641450720127779E-2</v>
      </c>
      <c r="Z57" s="50">
        <v>71500</v>
      </c>
      <c r="AA57" s="50">
        <f>$Y57*Z57</f>
        <v>2834.3637264891363</v>
      </c>
      <c r="AB57" s="50" t="e">
        <f>#REF!</f>
        <v>#REF!</v>
      </c>
      <c r="AC57" s="50" t="e">
        <f>$Y57*AB57</f>
        <v>#REF!</v>
      </c>
      <c r="AE57" s="50" t="s">
        <v>402</v>
      </c>
      <c r="AG57" s="50">
        <v>0.28999999999999998</v>
      </c>
      <c r="AH57" s="50">
        <v>1.4E-3</v>
      </c>
      <c r="AK57" s="50" t="s">
        <v>419</v>
      </c>
    </row>
    <row r="58" spans="1:37" ht="15" thickBot="1" x14ac:dyDescent="0.8">
      <c r="A58" s="898"/>
      <c r="B58" s="50" t="s">
        <v>421</v>
      </c>
      <c r="C58" s="405">
        <v>942993</v>
      </c>
      <c r="D58" s="406">
        <v>74042</v>
      </c>
      <c r="E58" s="398">
        <f>D58*$R$25*$E$6/1000</f>
        <v>41.463495121888002</v>
      </c>
      <c r="F58" s="398">
        <f>D58*(($S$25*$E$6+($T$25+$Y$25)*$F$6))/1000</f>
        <v>411.78319972754974</v>
      </c>
      <c r="G58" s="444">
        <f t="shared" si="9"/>
        <v>453.24669484943774</v>
      </c>
      <c r="H58" s="439">
        <f>SUM(G55:G58)+G51+G47</f>
        <v>1691.624489923749</v>
      </c>
      <c r="I58" s="439">
        <f>I57+D58</f>
        <v>77737</v>
      </c>
      <c r="J58" s="899"/>
      <c r="K58" s="450">
        <f>(D58-D41)/D41</f>
        <v>8.8244804374026278E-2</v>
      </c>
      <c r="L58" s="416">
        <f t="shared" si="7"/>
        <v>8.8244804374026195E-2</v>
      </c>
      <c r="O58" s="50" t="s">
        <v>401</v>
      </c>
      <c r="P58" s="50">
        <v>289</v>
      </c>
      <c r="Q58" s="121"/>
      <c r="T58" s="76">
        <f>SUM(T54:T57)</f>
        <v>0</v>
      </c>
      <c r="V58" s="50" t="s">
        <v>420</v>
      </c>
      <c r="W58" s="50">
        <v>990</v>
      </c>
      <c r="X58" s="50">
        <v>31</v>
      </c>
      <c r="Y58" s="162">
        <f t="shared" si="8"/>
        <v>3.1313131313131314E-2</v>
      </c>
      <c r="Z58" s="50">
        <v>1471</v>
      </c>
      <c r="AA58" s="50">
        <f>$Y58*Z58</f>
        <v>46.061616161616165</v>
      </c>
      <c r="AB58" s="50">
        <v>2177</v>
      </c>
      <c r="AC58" s="50">
        <f>$Y58*AB58</f>
        <v>68.168686868686876</v>
      </c>
      <c r="AE58" s="50" t="s">
        <v>404</v>
      </c>
      <c r="AG58" s="50">
        <v>0.09</v>
      </c>
      <c r="AH58" s="50">
        <v>5.0000000000000001E-4</v>
      </c>
    </row>
    <row r="59" spans="1:37" ht="15" thickBot="1" x14ac:dyDescent="0.75">
      <c r="A59" s="409" t="s">
        <v>21</v>
      </c>
      <c r="B59" s="410">
        <f>A43</f>
        <v>2018</v>
      </c>
      <c r="C59" s="411">
        <f>SUM(C55:C58)</f>
        <v>1038431</v>
      </c>
      <c r="D59" s="411"/>
      <c r="E59" s="445">
        <f>SUM(E55:E58)+E51+E47</f>
        <v>717.56472284678648</v>
      </c>
      <c r="F59" s="445">
        <f>SUM(F55:F58)+F51+F47</f>
        <v>974.05976707696254</v>
      </c>
      <c r="G59" s="412">
        <f t="shared" ref="G59:G69" si="10">E59+F59</f>
        <v>1691.624489923749</v>
      </c>
      <c r="H59" s="412">
        <f>H58</f>
        <v>1691.624489923749</v>
      </c>
      <c r="I59" s="412">
        <f>SUM(I55:I58)</f>
        <v>88277</v>
      </c>
      <c r="J59" s="900"/>
      <c r="K59" s="427">
        <f>(I59-I42)/I42</f>
        <v>-4.0540393665699351E-2</v>
      </c>
      <c r="L59" s="428">
        <f>(G59-G42)/G42</f>
        <v>-0.24664004469828402</v>
      </c>
      <c r="O59" s="50" t="s">
        <v>413</v>
      </c>
      <c r="P59" s="50">
        <v>861</v>
      </c>
      <c r="Q59" s="121">
        <v>18.00000143467906</v>
      </c>
      <c r="R59" s="50">
        <v>1.0900001434679101</v>
      </c>
      <c r="S59" s="50">
        <v>3.0389120972139999E-2</v>
      </c>
      <c r="T59" s="76">
        <f>(P59*((Q59+R59)*$Z$2+(S59)*$AB$2))/1000</f>
        <v>0</v>
      </c>
      <c r="V59" s="50" t="s">
        <v>431</v>
      </c>
      <c r="W59" s="50">
        <v>3550</v>
      </c>
      <c r="X59" s="50">
        <v>793</v>
      </c>
      <c r="Y59" s="162">
        <f t="shared" si="8"/>
        <v>0.22338028169014085</v>
      </c>
      <c r="Z59" s="50">
        <v>10929</v>
      </c>
      <c r="AA59" s="50">
        <f>$Y59*Z59</f>
        <v>2441.3230985915493</v>
      </c>
      <c r="AB59" s="50">
        <v>40278</v>
      </c>
      <c r="AC59" s="50">
        <f>$Y59*AB59</f>
        <v>8997.3109859154938</v>
      </c>
    </row>
    <row r="60" spans="1:37" ht="14.25" x14ac:dyDescent="0.65">
      <c r="A60" s="883">
        <v>2019</v>
      </c>
      <c r="B60" s="50" t="s">
        <v>385</v>
      </c>
      <c r="C60" s="389">
        <v>327993</v>
      </c>
      <c r="D60" s="390">
        <v>93</v>
      </c>
      <c r="E60" s="390">
        <f>D60*$R$10*$E$6/1000</f>
        <v>29.028397662379103</v>
      </c>
      <c r="F60" s="390">
        <f>D60*(($S$10*$E$6+($T$10+$Y$10)*$F$6))/1000</f>
        <v>5.5599042592708257</v>
      </c>
      <c r="G60" s="392">
        <f t="shared" si="10"/>
        <v>34.588301921649929</v>
      </c>
      <c r="H60" s="438">
        <f>G60</f>
        <v>34.588301921649929</v>
      </c>
      <c r="I60" s="438"/>
      <c r="J60" s="899" t="s">
        <v>244</v>
      </c>
      <c r="K60" s="449"/>
      <c r="L60" s="416">
        <f>(G60-G43)/G43</f>
        <v>-0.41139240506329117</v>
      </c>
      <c r="Q60" s="76"/>
      <c r="V60" s="50" t="s">
        <v>432</v>
      </c>
      <c r="W60" s="50">
        <v>238000</v>
      </c>
      <c r="X60" s="50">
        <v>53038</v>
      </c>
      <c r="Y60" s="162">
        <f t="shared" si="8"/>
        <v>0.22284873949579831</v>
      </c>
      <c r="Z60" s="50">
        <f>205121+61974</f>
        <v>267095</v>
      </c>
      <c r="AA60" s="50">
        <f>$Y60*Z60</f>
        <v>59521.784075630247</v>
      </c>
      <c r="AB60" s="50">
        <f>P60</f>
        <v>0</v>
      </c>
      <c r="AC60" s="50">
        <f>$Y60*AB60</f>
        <v>0</v>
      </c>
    </row>
    <row r="61" spans="1:37" ht="14.25" x14ac:dyDescent="0.65">
      <c r="A61" s="883"/>
      <c r="B61" s="50" t="s">
        <v>388</v>
      </c>
      <c r="C61" s="397">
        <v>10944</v>
      </c>
      <c r="D61" s="398">
        <v>11</v>
      </c>
      <c r="E61" s="398">
        <f>D61*$R$11*$E$6/1000</f>
        <v>3.6790630547649839</v>
      </c>
      <c r="F61" s="398">
        <f>D61*(($S$11*$E$6+($T$11+$Y$11)*$F$6))/1000</f>
        <v>0.85631104918157919</v>
      </c>
      <c r="G61" s="400">
        <f t="shared" si="10"/>
        <v>4.5353741039465634</v>
      </c>
      <c r="H61" s="439">
        <f>G61+G60</f>
        <v>39.123676025596495</v>
      </c>
      <c r="I61" s="439"/>
      <c r="J61" s="899"/>
      <c r="K61" s="450"/>
      <c r="L61" s="416">
        <f t="shared" ref="L61:L75" si="11">(G61-G44)/G44</f>
        <v>-0.31249999999999989</v>
      </c>
    </row>
    <row r="62" spans="1:37" ht="14.25" x14ac:dyDescent="0.65">
      <c r="A62" s="883"/>
      <c r="B62" s="50" t="s">
        <v>394</v>
      </c>
      <c r="C62" s="397">
        <f>76610</f>
        <v>76610</v>
      </c>
      <c r="D62" s="398">
        <f>34</f>
        <v>34</v>
      </c>
      <c r="E62" s="398">
        <f>D62*$R$12*$E$6/1000</f>
        <v>8.9956467552361286</v>
      </c>
      <c r="F62" s="398">
        <f>D62*(($S$12*$E$6+($T$12+$Y$12)*$F$6))/1000</f>
        <v>1.3513123427155596</v>
      </c>
      <c r="G62" s="400">
        <f t="shared" si="10"/>
        <v>10.346959097951688</v>
      </c>
      <c r="H62" s="439">
        <f>G62+G61+G60</f>
        <v>49.470635123548178</v>
      </c>
      <c r="I62" s="439"/>
      <c r="J62" s="899"/>
      <c r="K62" s="450"/>
      <c r="L62" s="416">
        <f t="shared" si="11"/>
        <v>-0.40350877192982465</v>
      </c>
    </row>
    <row r="63" spans="1:37" ht="14.25" x14ac:dyDescent="0.65">
      <c r="A63" s="883"/>
      <c r="B63" s="50" t="s">
        <v>398</v>
      </c>
      <c r="C63" s="397">
        <f>76610*3</f>
        <v>229830</v>
      </c>
      <c r="D63" s="398">
        <f>34*3</f>
        <v>102</v>
      </c>
      <c r="E63" s="398">
        <f>D63*$R$13*$E$6/1000</f>
        <v>13.348286754089651</v>
      </c>
      <c r="F63" s="398">
        <f>D63*(($S$13*$E$6+($T$13+$Y$13)*$F$6))/1000</f>
        <v>0.66384915923475352</v>
      </c>
      <c r="G63" s="400">
        <f t="shared" si="10"/>
        <v>14.012135913324405</v>
      </c>
      <c r="H63" s="439">
        <f>SUM(G60:G63)</f>
        <v>63.482771036872592</v>
      </c>
      <c r="I63" s="439"/>
      <c r="J63" s="899"/>
      <c r="K63" s="450"/>
      <c r="L63" s="416">
        <f t="shared" si="11"/>
        <v>-0.40350877192982448</v>
      </c>
    </row>
    <row r="64" spans="1:37" ht="14.25" x14ac:dyDescent="0.65">
      <c r="A64" s="883"/>
      <c r="B64" s="50" t="s">
        <v>401</v>
      </c>
      <c r="C64" s="397">
        <f>SUM(C60:C63)</f>
        <v>645377</v>
      </c>
      <c r="D64" s="398">
        <f>SUM(D60:D63)</f>
        <v>240</v>
      </c>
      <c r="E64" s="398">
        <f>SUM(E60:E63)</f>
        <v>55.051394226469867</v>
      </c>
      <c r="F64" s="398">
        <f>SUM(F60:F63)</f>
        <v>8.4313768104027194</v>
      </c>
      <c r="G64" s="400">
        <f t="shared" si="10"/>
        <v>63.482771036872585</v>
      </c>
      <c r="H64" s="439">
        <f>G64</f>
        <v>63.482771036872585</v>
      </c>
      <c r="I64" s="439">
        <f>D64</f>
        <v>240</v>
      </c>
      <c r="J64" s="899"/>
      <c r="K64" s="450">
        <f>(D64-D47)/D47</f>
        <v>-0.40298507462686567</v>
      </c>
      <c r="L64" s="416">
        <f t="shared" si="11"/>
        <v>-0.40221767156159516</v>
      </c>
    </row>
    <row r="65" spans="1:16" ht="14.25" x14ac:dyDescent="0.65">
      <c r="A65" s="883"/>
      <c r="B65" s="50" t="s">
        <v>492</v>
      </c>
      <c r="C65" s="397">
        <v>26214</v>
      </c>
      <c r="D65" s="398">
        <v>53</v>
      </c>
      <c r="E65" s="398">
        <f>D65*$R$15*$E$6/1000</f>
        <v>162.00159458000002</v>
      </c>
      <c r="F65" s="398">
        <f>D65*(($S$15*$E$6+($T$15+$Y$15)*$F$6))/1000</f>
        <v>48.676337348245845</v>
      </c>
      <c r="G65" s="400">
        <f t="shared" si="10"/>
        <v>210.67793192824587</v>
      </c>
      <c r="H65" s="439">
        <f>G65+G64</f>
        <v>274.16070296511845</v>
      </c>
      <c r="I65" s="439"/>
      <c r="J65" s="899"/>
      <c r="K65" s="450"/>
      <c r="L65" s="416">
        <f t="shared" si="11"/>
        <v>6.0000000000000012E-2</v>
      </c>
    </row>
    <row r="66" spans="1:16" ht="14.25" x14ac:dyDescent="0.65">
      <c r="A66" s="883"/>
      <c r="B66" s="50" t="s">
        <v>493</v>
      </c>
      <c r="C66" s="397">
        <v>23468</v>
      </c>
      <c r="D66" s="398">
        <v>11</v>
      </c>
      <c r="E66" s="398">
        <f>D66*$R$16*$E$6/1000</f>
        <v>22.71658666662</v>
      </c>
      <c r="F66" s="398">
        <f>D66*(($S$16*$E$6+($T$16+$Y$16)*$F$6))/1000</f>
        <v>1.2215075473231838</v>
      </c>
      <c r="G66" s="400">
        <f t="shared" si="10"/>
        <v>23.938094213943184</v>
      </c>
      <c r="H66" s="439">
        <f>G66+G65+G64</f>
        <v>298.09879717906165</v>
      </c>
      <c r="I66" s="439"/>
      <c r="J66" s="899"/>
      <c r="K66" s="450"/>
      <c r="L66" s="416">
        <f t="shared" si="11"/>
        <v>-0.47619047619047611</v>
      </c>
    </row>
    <row r="67" spans="1:16" ht="14.25" x14ac:dyDescent="0.65">
      <c r="A67" s="883"/>
      <c r="B67" s="50" t="s">
        <v>395</v>
      </c>
      <c r="C67" s="397">
        <v>31616</v>
      </c>
      <c r="D67" s="398">
        <v>42</v>
      </c>
      <c r="E67" s="398">
        <f>D67*$R$17*$E$6/1000</f>
        <v>41.658897184799997</v>
      </c>
      <c r="F67" s="398">
        <f>D67*(($S$17*$E$6+($T$17+$Y$17)*$F$6))/1000</f>
        <v>11.737242104235438</v>
      </c>
      <c r="G67" s="441">
        <f t="shared" si="10"/>
        <v>53.396139289035432</v>
      </c>
      <c r="H67" s="439">
        <f>G67+G66+G65+G64</f>
        <v>351.49493646809708</v>
      </c>
      <c r="I67" s="439"/>
      <c r="J67" s="899"/>
      <c r="K67" s="450"/>
      <c r="L67" s="416">
        <f t="shared" si="11"/>
        <v>0.31249999999999994</v>
      </c>
    </row>
    <row r="68" spans="1:16" ht="14.25" x14ac:dyDescent="0.65">
      <c r="A68" s="883"/>
      <c r="B68" s="50" t="s">
        <v>417</v>
      </c>
      <c r="C68" s="397">
        <f>SUM(C65:C67)</f>
        <v>81298</v>
      </c>
      <c r="D68" s="398">
        <f>SUM(D65:D67)</f>
        <v>106</v>
      </c>
      <c r="E68" s="398">
        <f>SUM(E65:E67)</f>
        <v>226.37707843142002</v>
      </c>
      <c r="F68" s="398">
        <f>SUM(F65:F67)</f>
        <v>61.635086999804471</v>
      </c>
      <c r="G68" s="441">
        <f t="shared" si="10"/>
        <v>288.0121654312245</v>
      </c>
      <c r="H68" s="439">
        <f>G68+G64</f>
        <v>351.49493646809708</v>
      </c>
      <c r="I68" s="439">
        <f>D68+I64</f>
        <v>346</v>
      </c>
      <c r="J68" s="899"/>
      <c r="K68" s="450">
        <f>(D68-D51)/D51</f>
        <v>2.9126213592233011E-2</v>
      </c>
      <c r="L68" s="416">
        <f t="shared" si="11"/>
        <v>1.0088635941183359E-2</v>
      </c>
    </row>
    <row r="69" spans="1:16" ht="14.25" x14ac:dyDescent="0.65">
      <c r="A69" s="883"/>
      <c r="B69" s="50" t="s">
        <v>491</v>
      </c>
      <c r="C69" s="397">
        <v>44</v>
      </c>
      <c r="D69" s="398">
        <v>10</v>
      </c>
      <c r="E69" s="398">
        <f>D69*$R$20*$E$6/1000</f>
        <v>0.42</v>
      </c>
      <c r="F69" s="398">
        <f>D69*(($S$20*$E$6+($T$20+$Y$19)*$F$6))/1000</f>
        <v>1.7757577499999999</v>
      </c>
      <c r="G69" s="441">
        <f t="shared" si="10"/>
        <v>2.1957577499999998</v>
      </c>
      <c r="H69" s="439">
        <f>H68+G69</f>
        <v>353.69069421809706</v>
      </c>
      <c r="I69" s="439"/>
      <c r="J69" s="899"/>
      <c r="K69" s="450"/>
      <c r="L69" s="416">
        <f t="shared" si="11"/>
        <v>-0.23076923076923092</v>
      </c>
    </row>
    <row r="70" spans="1:16" ht="14.25" x14ac:dyDescent="0.65">
      <c r="A70" s="883"/>
      <c r="B70" s="50" t="s">
        <v>387</v>
      </c>
      <c r="C70" s="397">
        <v>3111</v>
      </c>
      <c r="D70" s="398">
        <v>801</v>
      </c>
      <c r="E70" s="398">
        <f>D70*$R$20*$E$6/1000</f>
        <v>33.642000000000003</v>
      </c>
      <c r="F70" s="398">
        <f>D70*(($S$20*$E$6+($T$20+$Y$20)*$F$6))/1000</f>
        <v>142.23819577500001</v>
      </c>
      <c r="G70" s="400">
        <f t="shared" ref="G70:G75" si="12">E70+F70</f>
        <v>175.880195775</v>
      </c>
      <c r="H70" s="439">
        <f>G70+G68+G67+G69</f>
        <v>519.48425824525998</v>
      </c>
      <c r="I70" s="439"/>
      <c r="J70" s="899"/>
      <c r="K70" s="450"/>
      <c r="L70" s="416">
        <f t="shared" si="11"/>
        <v>0</v>
      </c>
    </row>
    <row r="71" spans="1:16" ht="14.25" x14ac:dyDescent="0.65">
      <c r="A71" s="883"/>
      <c r="B71" s="50" t="s">
        <v>390</v>
      </c>
      <c r="C71" s="397">
        <v>31791</v>
      </c>
      <c r="D71" s="398">
        <v>2350</v>
      </c>
      <c r="E71" s="398">
        <f>D71*$R$21*$E$6/1000</f>
        <v>98.7</v>
      </c>
      <c r="F71" s="398">
        <f>D71*(($S$21*$E$6+($T$21+$Y$21)*$F$6))/1000</f>
        <v>402.21363896144959</v>
      </c>
      <c r="G71" s="400">
        <f t="shared" si="12"/>
        <v>500.91363896144958</v>
      </c>
      <c r="H71" s="439">
        <f>G71+G67+G69</f>
        <v>556.50553600048499</v>
      </c>
      <c r="I71" s="439"/>
      <c r="J71" s="899"/>
      <c r="K71" s="450"/>
      <c r="L71" s="416">
        <f t="shared" si="11"/>
        <v>0.25870380289234057</v>
      </c>
    </row>
    <row r="72" spans="1:16" ht="14.25" x14ac:dyDescent="0.65">
      <c r="A72" s="883"/>
      <c r="B72" s="50" t="s">
        <v>418</v>
      </c>
      <c r="C72" s="397">
        <f>SUM(C69:C71)</f>
        <v>34946</v>
      </c>
      <c r="D72" s="398">
        <f>SUM(D69:D71)</f>
        <v>3161</v>
      </c>
      <c r="E72" s="398">
        <f>SUM(E69:E71)</f>
        <v>132.762</v>
      </c>
      <c r="F72" s="398">
        <f>SUM(F69:F71)</f>
        <v>546.22759248644957</v>
      </c>
      <c r="G72" s="400">
        <f t="shared" si="12"/>
        <v>678.98959248644951</v>
      </c>
      <c r="H72" s="439">
        <f>G72</f>
        <v>678.98959248644951</v>
      </c>
      <c r="I72" s="439">
        <f>D72+I68</f>
        <v>3507</v>
      </c>
      <c r="J72" s="899"/>
      <c r="K72" s="450">
        <f>(D72-D55)/D55</f>
        <v>0.17903767251025737</v>
      </c>
      <c r="L72" s="416">
        <f t="shared" si="11"/>
        <v>0.17738160815770998</v>
      </c>
    </row>
    <row r="73" spans="1:16" ht="14.25" x14ac:dyDescent="0.65">
      <c r="A73" s="883"/>
      <c r="B73" s="50" t="s">
        <v>413</v>
      </c>
      <c r="C73" s="397">
        <v>55230</v>
      </c>
      <c r="D73" s="398">
        <v>414</v>
      </c>
      <c r="E73" s="398">
        <f>D73*$R$23*$E$6/1000</f>
        <v>208.65601663079968</v>
      </c>
      <c r="F73" s="398">
        <f>D73*(($S$23*$E$6+($T$23+$Y$23)*$F$6))/1000</f>
        <v>22.210188711777491</v>
      </c>
      <c r="G73" s="400">
        <f t="shared" si="12"/>
        <v>230.86620534257719</v>
      </c>
      <c r="H73" s="439">
        <f>G72+G73</f>
        <v>909.85579782902664</v>
      </c>
      <c r="I73" s="439">
        <f>I72+D73</f>
        <v>3921</v>
      </c>
      <c r="J73" s="899"/>
      <c r="K73" s="450">
        <f>(D73-D56)/D56</f>
        <v>-0.12473572938689217</v>
      </c>
      <c r="L73" s="416">
        <f t="shared" si="11"/>
        <v>-0.12473572938689208</v>
      </c>
    </row>
    <row r="74" spans="1:16" ht="23" x14ac:dyDescent="1">
      <c r="A74" s="883"/>
      <c r="B74" s="50" t="s">
        <v>420</v>
      </c>
      <c r="C74" s="397">
        <v>1471</v>
      </c>
      <c r="D74" s="398">
        <v>8</v>
      </c>
      <c r="E74" s="398">
        <f>D74*$R$24*$E$6/1000</f>
        <v>1.1200000000000001</v>
      </c>
      <c r="F74" s="398">
        <f>D74*(($S$24*$E$6+($T$24+$Y$24)*$F$6))/1000</f>
        <v>0.34291430023520003</v>
      </c>
      <c r="G74" s="400">
        <f t="shared" si="12"/>
        <v>1.4629143002352001</v>
      </c>
      <c r="H74" s="439">
        <f>SUM(G72:G74)</f>
        <v>911.31871212926183</v>
      </c>
      <c r="I74" s="439">
        <f>D74+I73</f>
        <v>3929</v>
      </c>
      <c r="J74" s="899"/>
      <c r="K74" s="450">
        <f>(D74-D57)/D57</f>
        <v>-0.77777777777777779</v>
      </c>
      <c r="L74" s="416">
        <f t="shared" si="11"/>
        <v>-0.77777777777777779</v>
      </c>
      <c r="O74" s="746" t="s">
        <v>111</v>
      </c>
    </row>
    <row r="75" spans="1:16" ht="15" thickBot="1" x14ac:dyDescent="0.8">
      <c r="A75" s="898"/>
      <c r="B75" s="50" t="s">
        <v>421</v>
      </c>
      <c r="C75" s="405">
        <v>970847</v>
      </c>
      <c r="D75" s="406">
        <v>73053</v>
      </c>
      <c r="E75" s="398">
        <f>D75*$R$25*$E$6/1000</f>
        <v>40.909655454191999</v>
      </c>
      <c r="F75" s="398">
        <f>D75*(($S$25*$E$6+($T$25+$Y$25)*$F$6))/1000</f>
        <v>406.28289470431224</v>
      </c>
      <c r="G75" s="444">
        <f t="shared" si="12"/>
        <v>447.19255015850422</v>
      </c>
      <c r="H75" s="439">
        <f>SUM(G72:G75)+G68+G64</f>
        <v>1710.0061987558631</v>
      </c>
      <c r="I75" s="439">
        <f>I74+D75</f>
        <v>76982</v>
      </c>
      <c r="J75" s="899"/>
      <c r="K75" s="450">
        <f>(D75-D58)/D58</f>
        <v>-1.3357283703843764E-2</v>
      </c>
      <c r="L75" s="416">
        <f t="shared" si="11"/>
        <v>-1.3357283703843949E-2</v>
      </c>
    </row>
    <row r="76" spans="1:16" ht="15.25" thickBot="1" x14ac:dyDescent="0.85">
      <c r="A76" s="409" t="s">
        <v>21</v>
      </c>
      <c r="B76" s="410">
        <f>A60</f>
        <v>2019</v>
      </c>
      <c r="C76" s="411">
        <f>SUM(C72:C75)</f>
        <v>1062494</v>
      </c>
      <c r="D76" s="411"/>
      <c r="E76" s="445">
        <f>SUM(E72:E75)+E68+E64</f>
        <v>664.87614474288148</v>
      </c>
      <c r="F76" s="445">
        <f>SUM(F72:F75)+F68+F64</f>
        <v>1045.1300540129819</v>
      </c>
      <c r="G76" s="412">
        <f t="shared" ref="G76:G86" si="13">E76+F76</f>
        <v>1710.0061987558634</v>
      </c>
      <c r="H76" s="412">
        <f>H75</f>
        <v>1710.0061987558631</v>
      </c>
      <c r="I76" s="412">
        <f>SUM(I72:I75)</f>
        <v>88339</v>
      </c>
      <c r="J76" s="900"/>
      <c r="K76" s="427">
        <f>(I76-I59)/I59</f>
        <v>7.0233469646680338E-4</v>
      </c>
      <c r="L76" s="428">
        <f>(G76-G59)/G59</f>
        <v>1.0866305697042075E-2</v>
      </c>
      <c r="P76" s="56" t="s">
        <v>103</v>
      </c>
    </row>
    <row r="77" spans="1:16" ht="14.25" x14ac:dyDescent="0.65">
      <c r="A77" s="883">
        <v>2020</v>
      </c>
      <c r="B77" s="50" t="s">
        <v>385</v>
      </c>
      <c r="C77" s="389">
        <v>315791</v>
      </c>
      <c r="D77" s="390">
        <v>139</v>
      </c>
      <c r="E77" s="390">
        <f>D77*$R$10*$E$6/1000</f>
        <v>43.386529839469837</v>
      </c>
      <c r="F77" s="390">
        <f>D77*(($S$10*$E$6+($T$10+$Y$10)*$F$6))/1000</f>
        <v>8.3099644305230616</v>
      </c>
      <c r="G77" s="392">
        <f t="shared" si="13"/>
        <v>51.696494269992897</v>
      </c>
      <c r="H77" s="438">
        <f>G77</f>
        <v>51.696494269992897</v>
      </c>
      <c r="I77" s="438"/>
      <c r="J77" s="899" t="s">
        <v>244</v>
      </c>
      <c r="K77" s="449"/>
      <c r="L77" s="416">
        <f>(G77-G60)/G60</f>
        <v>0.49462365591397828</v>
      </c>
      <c r="O77" s="50" t="s">
        <v>426</v>
      </c>
      <c r="P77" s="50">
        <v>56009</v>
      </c>
    </row>
    <row r="78" spans="1:16" ht="14.25" x14ac:dyDescent="0.65">
      <c r="A78" s="883"/>
      <c r="B78" s="50" t="s">
        <v>388</v>
      </c>
      <c r="C78" s="397">
        <v>11002</v>
      </c>
      <c r="D78" s="398">
        <v>16</v>
      </c>
      <c r="E78" s="398">
        <f>D78*$R$11*$E$6/1000</f>
        <v>5.3513644432945222</v>
      </c>
      <c r="F78" s="398">
        <f>D78*(($S$11*$E$6+($T$11+$Y$11)*$F$6))/1000</f>
        <v>1.2455433442641151</v>
      </c>
      <c r="G78" s="400">
        <f t="shared" si="13"/>
        <v>6.5969077875586368</v>
      </c>
      <c r="H78" s="439">
        <f>G78+G77</f>
        <v>58.293402057551532</v>
      </c>
      <c r="I78" s="439"/>
      <c r="J78" s="899"/>
      <c r="K78" s="450"/>
      <c r="L78" s="416">
        <f t="shared" ref="L78:L92" si="14">(G78-G61)/G61</f>
        <v>0.45454545454545436</v>
      </c>
      <c r="O78" s="50" t="s">
        <v>427</v>
      </c>
      <c r="P78" s="50">
        <v>10587</v>
      </c>
    </row>
    <row r="79" spans="1:16" ht="14.5" x14ac:dyDescent="0.7">
      <c r="A79" s="883"/>
      <c r="B79" s="50" t="s">
        <v>394</v>
      </c>
      <c r="C79" s="397">
        <f>75108</f>
        <v>75108</v>
      </c>
      <c r="D79" s="398">
        <f>65</f>
        <v>65</v>
      </c>
      <c r="E79" s="398">
        <f>D79*$R$12*$E$6/1000</f>
        <v>17.197559973245543</v>
      </c>
      <c r="F79" s="398">
        <f>D79*(($S$12*$E$6+($T$12+$Y$12)*$F$6))/1000</f>
        <v>2.5833912434268052</v>
      </c>
      <c r="G79" s="400">
        <f t="shared" si="13"/>
        <v>19.780951216672349</v>
      </c>
      <c r="H79" s="439">
        <f>G79+G78+G77</f>
        <v>78.074353274223881</v>
      </c>
      <c r="I79" s="439"/>
      <c r="J79" s="899"/>
      <c r="K79" s="450"/>
      <c r="L79" s="416">
        <f t="shared" si="14"/>
        <v>0.91176470588235348</v>
      </c>
      <c r="O79" s="78" t="s">
        <v>21</v>
      </c>
      <c r="P79" s="78">
        <f>P77-P78</f>
        <v>45422</v>
      </c>
    </row>
    <row r="80" spans="1:16" ht="14.25" x14ac:dyDescent="0.65">
      <c r="A80" s="883"/>
      <c r="B80" s="50" t="s">
        <v>398</v>
      </c>
      <c r="C80" s="397">
        <f>75108*3</f>
        <v>225324</v>
      </c>
      <c r="D80" s="398">
        <f>65*3</f>
        <v>195</v>
      </c>
      <c r="E80" s="398">
        <f>D80*$R$13*$E$6/1000</f>
        <v>25.51878350046551</v>
      </c>
      <c r="F80" s="398">
        <f>D80*(($S$13*$E$6+($T$13+$Y$13)*$F$6))/1000</f>
        <v>1.2691233926546759</v>
      </c>
      <c r="G80" s="400">
        <f t="shared" si="13"/>
        <v>26.787906893120187</v>
      </c>
      <c r="H80" s="439">
        <f>SUM(G77:G80)</f>
        <v>104.86226016734406</v>
      </c>
      <c r="I80" s="439"/>
      <c r="J80" s="899"/>
      <c r="K80" s="450"/>
      <c r="L80" s="416">
        <f t="shared" si="14"/>
        <v>0.91176470588235303</v>
      </c>
    </row>
    <row r="81" spans="1:12" ht="14.25" x14ac:dyDescent="0.65">
      <c r="A81" s="883"/>
      <c r="B81" s="50" t="s">
        <v>401</v>
      </c>
      <c r="C81" s="397">
        <f>SUM(C77:C80)</f>
        <v>627225</v>
      </c>
      <c r="D81" s="398">
        <f>SUM(D77:D80)</f>
        <v>415</v>
      </c>
      <c r="E81" s="398">
        <f>SUM(E77:E80)</f>
        <v>91.454237756475408</v>
      </c>
      <c r="F81" s="398">
        <f>SUM(F77:F80)</f>
        <v>13.408022410868657</v>
      </c>
      <c r="G81" s="400">
        <f t="shared" si="13"/>
        <v>104.86226016734406</v>
      </c>
      <c r="H81" s="439">
        <f>G81</f>
        <v>104.86226016734406</v>
      </c>
      <c r="I81" s="439">
        <f>D81</f>
        <v>415</v>
      </c>
      <c r="J81" s="899"/>
      <c r="K81" s="450">
        <f>(D81-D64)/D64</f>
        <v>0.72916666666666663</v>
      </c>
      <c r="L81" s="416">
        <f t="shared" si="14"/>
        <v>0.65182235202740446</v>
      </c>
    </row>
    <row r="82" spans="1:12" ht="14.25" x14ac:dyDescent="0.65">
      <c r="A82" s="883"/>
      <c r="B82" s="50" t="s">
        <v>492</v>
      </c>
      <c r="C82" s="397">
        <v>25785</v>
      </c>
      <c r="D82" s="398">
        <v>49</v>
      </c>
      <c r="E82" s="398">
        <f>D82*$R$15*$E$6/1000</f>
        <v>149.77505914</v>
      </c>
      <c r="F82" s="398">
        <f>D82*(($S$15*$E$6+($T$15+$Y$15)*$F$6))/1000</f>
        <v>45.002651510642387</v>
      </c>
      <c r="G82" s="400">
        <f t="shared" si="13"/>
        <v>194.77771065064238</v>
      </c>
      <c r="H82" s="439">
        <f>G82+G81</f>
        <v>299.63997081798641</v>
      </c>
      <c r="I82" s="439"/>
      <c r="J82" s="899"/>
      <c r="K82" s="450"/>
      <c r="L82" s="416">
        <f t="shared" si="14"/>
        <v>-7.5471698113207697E-2</v>
      </c>
    </row>
    <row r="83" spans="1:12" ht="14.25" x14ac:dyDescent="0.65">
      <c r="A83" s="883"/>
      <c r="B83" s="50" t="s">
        <v>493</v>
      </c>
      <c r="C83" s="397">
        <v>22829</v>
      </c>
      <c r="D83" s="398">
        <v>19</v>
      </c>
      <c r="E83" s="398">
        <f>D83*$R$16*$E$6/1000</f>
        <v>39.237740605980001</v>
      </c>
      <c r="F83" s="398">
        <f>D83*(($S$16*$E$6+($T$16+$Y$16)*$F$6))/1000</f>
        <v>2.1098766726491358</v>
      </c>
      <c r="G83" s="400">
        <f t="shared" si="13"/>
        <v>41.347617278629137</v>
      </c>
      <c r="H83" s="439">
        <f>G83+G82+G81</f>
        <v>340.98758809661558</v>
      </c>
      <c r="I83" s="439"/>
      <c r="J83" s="899"/>
      <c r="K83" s="450"/>
      <c r="L83" s="416">
        <f t="shared" si="14"/>
        <v>0.72727272727272729</v>
      </c>
    </row>
    <row r="84" spans="1:12" ht="14.25" x14ac:dyDescent="0.65">
      <c r="A84" s="883"/>
      <c r="B84" s="50" t="s">
        <v>395</v>
      </c>
      <c r="C84" s="397">
        <v>32122</v>
      </c>
      <c r="D84" s="398">
        <v>36</v>
      </c>
      <c r="E84" s="398">
        <f>D84*$R$17*$E$6/1000</f>
        <v>35.707626158399997</v>
      </c>
      <c r="F84" s="398">
        <f>D84*(($S$17*$E$6+($T$17+$Y$17)*$F$6))/1000</f>
        <v>10.060493232201805</v>
      </c>
      <c r="G84" s="441">
        <f t="shared" si="13"/>
        <v>45.768119390601804</v>
      </c>
      <c r="H84" s="439">
        <f>G84+G83+G82+G81</f>
        <v>386.75570748721736</v>
      </c>
      <c r="I84" s="439"/>
      <c r="J84" s="899"/>
      <c r="K84" s="450"/>
      <c r="L84" s="416">
        <f t="shared" si="14"/>
        <v>-0.14285714285714277</v>
      </c>
    </row>
    <row r="85" spans="1:12" ht="14.25" x14ac:dyDescent="0.65">
      <c r="A85" s="883"/>
      <c r="B85" s="50" t="s">
        <v>417</v>
      </c>
      <c r="C85" s="397">
        <f>SUM(C82:C84)</f>
        <v>80736</v>
      </c>
      <c r="D85" s="397">
        <f>SUM(D82:D84)</f>
        <v>104</v>
      </c>
      <c r="E85" s="398">
        <f>SUM(E82:E84)</f>
        <v>224.72042590437999</v>
      </c>
      <c r="F85" s="398">
        <f>SUM(F82:F84)</f>
        <v>57.173021415493331</v>
      </c>
      <c r="G85" s="441">
        <f t="shared" si="13"/>
        <v>281.8934473198733</v>
      </c>
      <c r="H85" s="439">
        <f>G85+G81</f>
        <v>386.75570748721736</v>
      </c>
      <c r="I85" s="439">
        <f>D85+I81</f>
        <v>519</v>
      </c>
      <c r="J85" s="899"/>
      <c r="K85" s="450">
        <f>(D85-D68)/D68</f>
        <v>-1.8867924528301886E-2</v>
      </c>
      <c r="L85" s="416">
        <f t="shared" si="14"/>
        <v>-2.1244651600705773E-2</v>
      </c>
    </row>
    <row r="86" spans="1:12" ht="14.25" x14ac:dyDescent="0.65">
      <c r="A86" s="883"/>
      <c r="B86" s="50" t="s">
        <v>491</v>
      </c>
      <c r="C86" s="397">
        <v>42</v>
      </c>
      <c r="D86" s="398">
        <v>11</v>
      </c>
      <c r="E86" s="398">
        <f>D86*$R$20*$E$6/1000</f>
        <v>0.46200000000000002</v>
      </c>
      <c r="F86" s="398">
        <f>D86*(($S$20*$E$6+($T$20+$Y$19)*$F$6))/1000</f>
        <v>1.9533335249999999</v>
      </c>
      <c r="G86" s="441">
        <f t="shared" si="13"/>
        <v>2.4153335249999999</v>
      </c>
      <c r="H86" s="439">
        <f>H85+G86</f>
        <v>389.17104101221736</v>
      </c>
      <c r="I86" s="439"/>
      <c r="J86" s="899"/>
      <c r="K86" s="450"/>
      <c r="L86" s="416">
        <f t="shared" si="14"/>
        <v>0.10000000000000002</v>
      </c>
    </row>
    <row r="87" spans="1:12" ht="14.25" x14ac:dyDescent="0.65">
      <c r="A87" s="883"/>
      <c r="B87" s="50" t="s">
        <v>387</v>
      </c>
      <c r="C87" s="397">
        <v>3021</v>
      </c>
      <c r="D87" s="398">
        <v>801</v>
      </c>
      <c r="E87" s="398">
        <f>D87*$R$20*$E$6/1000</f>
        <v>33.642000000000003</v>
      </c>
      <c r="F87" s="398">
        <f>D87*(($S$20*$E$6+($T$20+$Y$20)*$F$6))/1000</f>
        <v>142.23819577500001</v>
      </c>
      <c r="G87" s="400">
        <f t="shared" ref="G87:G92" si="15">E87+F87</f>
        <v>175.880195775</v>
      </c>
      <c r="H87" s="439">
        <f>G87+G85+G84+G86</f>
        <v>505.95709601047508</v>
      </c>
      <c r="I87" s="439"/>
      <c r="J87" s="899"/>
      <c r="K87" s="450"/>
      <c r="L87" s="416">
        <f t="shared" si="14"/>
        <v>0</v>
      </c>
    </row>
    <row r="88" spans="1:12" ht="14.25" x14ac:dyDescent="0.65">
      <c r="A88" s="883"/>
      <c r="B88" s="50" t="s">
        <v>390</v>
      </c>
      <c r="C88" s="397">
        <v>39505</v>
      </c>
      <c r="D88" s="398">
        <v>6650</v>
      </c>
      <c r="E88" s="398">
        <f>D88*$R$21*$E$6/1000</f>
        <v>279.3</v>
      </c>
      <c r="F88" s="398">
        <f>D88*(($S$21*$E$6+($T$21+$Y$21)*$F$6))/1000</f>
        <v>1138.1790208909106</v>
      </c>
      <c r="G88" s="400">
        <f t="shared" si="15"/>
        <v>1417.4790208909105</v>
      </c>
      <c r="H88" s="439">
        <f>G88+G84+G86</f>
        <v>1465.6624738065125</v>
      </c>
      <c r="I88" s="439"/>
      <c r="J88" s="899"/>
      <c r="K88" s="450">
        <f>(D88-D71)/D71</f>
        <v>1.8297872340425532</v>
      </c>
      <c r="L88" s="416">
        <f t="shared" si="14"/>
        <v>1.8297872340425532</v>
      </c>
    </row>
    <row r="89" spans="1:12" ht="14.25" x14ac:dyDescent="0.65">
      <c r="A89" s="883"/>
      <c r="B89" s="50" t="s">
        <v>418</v>
      </c>
      <c r="C89" s="397">
        <f>SUM(C86:C88)</f>
        <v>42568</v>
      </c>
      <c r="D89" s="398">
        <f>SUM(D86:D88)</f>
        <v>7462</v>
      </c>
      <c r="E89" s="398">
        <f>SUM(E86:E88)</f>
        <v>313.404</v>
      </c>
      <c r="F89" s="398">
        <f>SUM(F86:F88)</f>
        <v>1282.3705501909105</v>
      </c>
      <c r="G89" s="400">
        <f t="shared" si="15"/>
        <v>1595.7745501909105</v>
      </c>
      <c r="H89" s="439">
        <f>G89</f>
        <v>1595.7745501909105</v>
      </c>
      <c r="I89" s="439">
        <f>D89+I85</f>
        <v>7981</v>
      </c>
      <c r="J89" s="899"/>
      <c r="K89" s="450">
        <f>(D89-D72)/D72</f>
        <v>1.3606453653906991</v>
      </c>
      <c r="L89" s="416">
        <f t="shared" si="14"/>
        <v>1.3502194552750191</v>
      </c>
    </row>
    <row r="90" spans="1:12" ht="14.25" x14ac:dyDescent="0.65">
      <c r="A90" s="883"/>
      <c r="B90" s="50" t="s">
        <v>413</v>
      </c>
      <c r="C90" s="397">
        <v>58535</v>
      </c>
      <c r="D90" s="398">
        <v>464</v>
      </c>
      <c r="E90" s="398">
        <f>D90*$R$23*$E$6/1000</f>
        <v>233.85601863935037</v>
      </c>
      <c r="F90" s="398">
        <f>D90*(($S$23*$E$6+($T$23+$Y$23)*$F$6))/1000</f>
        <v>24.89257865281342</v>
      </c>
      <c r="G90" s="400">
        <f t="shared" si="15"/>
        <v>258.74859729216377</v>
      </c>
      <c r="H90" s="439">
        <f>G89+G90</f>
        <v>1854.5231474830744</v>
      </c>
      <c r="I90" s="439">
        <f>I89+D90</f>
        <v>8445</v>
      </c>
      <c r="J90" s="899"/>
      <c r="K90" s="450">
        <f>(D90-D73)/D73</f>
        <v>0.12077294685990338</v>
      </c>
      <c r="L90" s="416">
        <f t="shared" si="14"/>
        <v>0.12077294685990321</v>
      </c>
    </row>
    <row r="91" spans="1:12" ht="14.25" x14ac:dyDescent="0.65">
      <c r="A91" s="883"/>
      <c r="B91" s="50" t="s">
        <v>420</v>
      </c>
      <c r="C91" s="397">
        <v>1621</v>
      </c>
      <c r="D91" s="398">
        <v>36</v>
      </c>
      <c r="E91" s="398">
        <f>D91*$R$24*$E$6/1000</f>
        <v>5.04</v>
      </c>
      <c r="F91" s="398">
        <f>D91*(($S$24*$E$6+($T$24+$Y$24)*$F$6))/1000</f>
        <v>1.5431143510584002</v>
      </c>
      <c r="G91" s="400">
        <f t="shared" si="15"/>
        <v>6.5831143510584003</v>
      </c>
      <c r="H91" s="439">
        <f>SUM(G89:G91)</f>
        <v>1861.1062618341327</v>
      </c>
      <c r="I91" s="439">
        <f>D91+I90</f>
        <v>8481</v>
      </c>
      <c r="J91" s="899"/>
      <c r="K91" s="450">
        <f>(D91-D74)/D74</f>
        <v>3.5</v>
      </c>
      <c r="L91" s="416">
        <f t="shared" si="14"/>
        <v>3.5</v>
      </c>
    </row>
    <row r="92" spans="1:12" ht="15" thickBot="1" x14ac:dyDescent="0.8">
      <c r="A92" s="898"/>
      <c r="B92" s="50" t="s">
        <v>421</v>
      </c>
      <c r="C92" s="405">
        <v>840842</v>
      </c>
      <c r="D92" s="406">
        <v>66089</v>
      </c>
      <c r="E92" s="398">
        <f>D92*$R$25*$E$6/1000</f>
        <v>37.009817794096001</v>
      </c>
      <c r="F92" s="398">
        <f>D92*(($S$25*$E$6+($T$25+$Y$25)*$F$6))/1000</f>
        <v>367.55273880762314</v>
      </c>
      <c r="G92" s="444">
        <f t="shared" si="15"/>
        <v>404.56255660171917</v>
      </c>
      <c r="H92" s="439">
        <f>SUM(G89:G92)+G85+G81</f>
        <v>2652.4245259230693</v>
      </c>
      <c r="I92" s="439">
        <f>I91+D92</f>
        <v>74570</v>
      </c>
      <c r="J92" s="899"/>
      <c r="K92" s="450">
        <f>(D92-D75)/D75</f>
        <v>-9.5328049498309447E-2</v>
      </c>
      <c r="L92" s="416">
        <f t="shared" si="14"/>
        <v>-9.5328049498309295E-2</v>
      </c>
    </row>
    <row r="93" spans="1:12" ht="15" thickBot="1" x14ac:dyDescent="0.75">
      <c r="A93" s="409" t="s">
        <v>21</v>
      </c>
      <c r="B93" s="410">
        <f>A77</f>
        <v>2020</v>
      </c>
      <c r="C93" s="411">
        <f>SUM(C89:C92)</f>
        <v>943566</v>
      </c>
      <c r="D93" s="411"/>
      <c r="E93" s="445">
        <f>SUM(E89:E92)+E85+E81</f>
        <v>905.48450009430178</v>
      </c>
      <c r="F93" s="445">
        <f>SUM(F89:F92)+F85+F81</f>
        <v>1746.9400258287676</v>
      </c>
      <c r="G93" s="412">
        <f>E93+F93</f>
        <v>2652.4245259230693</v>
      </c>
      <c r="H93" s="412">
        <f>H92</f>
        <v>2652.4245259230693</v>
      </c>
      <c r="I93" s="412">
        <f>SUM(I89:I92)</f>
        <v>99477</v>
      </c>
      <c r="J93" s="900"/>
      <c r="K93" s="427">
        <f>(I93-I76)/I76</f>
        <v>0.12608247772784387</v>
      </c>
      <c r="L93" s="428">
        <f>(G93-G76)/G76</f>
        <v>0.5511198309414751</v>
      </c>
    </row>
  </sheetData>
  <mergeCells count="16">
    <mergeCell ref="J77:J93"/>
    <mergeCell ref="E7:F7"/>
    <mergeCell ref="A9:A24"/>
    <mergeCell ref="A26:A41"/>
    <mergeCell ref="J26:J42"/>
    <mergeCell ref="A7:B7"/>
    <mergeCell ref="A43:A58"/>
    <mergeCell ref="J43:J59"/>
    <mergeCell ref="A60:A75"/>
    <mergeCell ref="J60:J76"/>
    <mergeCell ref="A77:A92"/>
    <mergeCell ref="A2:L2"/>
    <mergeCell ref="A3:B5"/>
    <mergeCell ref="C3:L3"/>
    <mergeCell ref="H4:H6"/>
    <mergeCell ref="J4:L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906C-B4A7-4107-B3FB-DCBB0BBAC777}">
  <dimension ref="A4:A9"/>
  <sheetViews>
    <sheetView workbookViewId="0">
      <selection activeCell="A9" sqref="A9"/>
    </sheetView>
  </sheetViews>
  <sheetFormatPr defaultColWidth="9.1328125" defaultRowHeight="13" x14ac:dyDescent="0.6"/>
  <cols>
    <col min="1" max="16384" width="9.1328125" style="468"/>
  </cols>
  <sheetData>
    <row r="4" spans="1:1" x14ac:dyDescent="0.6">
      <c r="A4" s="468">
        <v>2020</v>
      </c>
    </row>
    <row r="5" spans="1:1" x14ac:dyDescent="0.6">
      <c r="A5" s="468" t="s">
        <v>559</v>
      </c>
    </row>
    <row r="6" spans="1:1" x14ac:dyDescent="0.6">
      <c r="A6" s="468" t="s">
        <v>560</v>
      </c>
    </row>
    <row r="7" spans="1:1" x14ac:dyDescent="0.6">
      <c r="A7" s="468" t="s">
        <v>561</v>
      </c>
    </row>
    <row r="8" spans="1:1" x14ac:dyDescent="0.6">
      <c r="A8" s="468" t="s">
        <v>558</v>
      </c>
    </row>
    <row r="9" spans="1:1" x14ac:dyDescent="0.6">
      <c r="A9" s="469" t="s">
        <v>579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B3D0E-E168-4BD2-B54D-5555CE0374FD}">
  <dimension ref="A4:AB96"/>
  <sheetViews>
    <sheetView tabSelected="1" topLeftCell="A4" zoomScale="80" zoomScaleNormal="80" workbookViewId="0">
      <selection activeCell="A60" sqref="A60"/>
    </sheetView>
  </sheetViews>
  <sheetFormatPr defaultColWidth="9.1328125" defaultRowHeight="13" x14ac:dyDescent="0.6"/>
  <cols>
    <col min="1" max="1" width="23.7265625" style="953" customWidth="1"/>
    <col min="2" max="2" width="16.76953125" style="953" customWidth="1"/>
    <col min="3" max="6" width="16.1328125" style="953" customWidth="1"/>
    <col min="7" max="7" width="21" style="953" customWidth="1"/>
    <col min="8" max="8" width="16.1328125" style="953" customWidth="1"/>
    <col min="9" max="10" width="9.1328125" style="953"/>
    <col min="11" max="11" width="10.1328125" style="953" bestFit="1" customWidth="1"/>
    <col min="12" max="16384" width="9.1328125" style="953"/>
  </cols>
  <sheetData>
    <row r="4" spans="1:28" ht="20.5" x14ac:dyDescent="0.9">
      <c r="A4" s="950"/>
      <c r="B4" s="951" t="s">
        <v>618</v>
      </c>
      <c r="C4" s="952">
        <v>2020</v>
      </c>
    </row>
    <row r="7" spans="1:28" x14ac:dyDescent="0.6">
      <c r="AA7" s="950"/>
    </row>
    <row r="9" spans="1:28" ht="18" x14ac:dyDescent="0.8">
      <c r="A9" s="954" t="s">
        <v>102</v>
      </c>
      <c r="B9" s="955" t="s">
        <v>378</v>
      </c>
    </row>
    <row r="10" spans="1:28" ht="13.75" thickBot="1" x14ac:dyDescent="0.75">
      <c r="A10" s="956"/>
      <c r="B10" s="957" t="s">
        <v>21</v>
      </c>
      <c r="C10" s="957" t="s">
        <v>3</v>
      </c>
      <c r="D10" s="957" t="s">
        <v>14</v>
      </c>
      <c r="E10" s="957" t="s">
        <v>5</v>
      </c>
    </row>
    <row r="11" spans="1:28" ht="16" thickTop="1" thickBot="1" x14ac:dyDescent="0.85">
      <c r="A11" s="958" t="s">
        <v>6</v>
      </c>
      <c r="B11" s="959">
        <f>B12+B14</f>
        <v>25351.897336593593</v>
      </c>
      <c r="C11" s="956"/>
      <c r="D11" s="960">
        <f>B11-B13</f>
        <v>25058.469960599999</v>
      </c>
      <c r="E11" s="961">
        <f>B13</f>
        <v>293.42737599359168</v>
      </c>
      <c r="F11" s="956"/>
    </row>
    <row r="12" spans="1:28" ht="13.75" thickTop="1" x14ac:dyDescent="0.6">
      <c r="A12" s="956" t="s">
        <v>67</v>
      </c>
      <c r="B12" s="960">
        <f>INDEX(Reykjavík!$A$2:$H$60,MATCH("Losun vegna raforku",Reykjavík!$A$2:$A$60,0),MATCH($C$4,Reykjavík!$A$3:$H$3,0))</f>
        <v>6683.6113365935926</v>
      </c>
      <c r="C12" s="956"/>
      <c r="D12" s="956"/>
      <c r="E12" s="956"/>
    </row>
    <row r="13" spans="1:28" x14ac:dyDescent="0.6">
      <c r="A13" s="962" t="s">
        <v>626</v>
      </c>
      <c r="B13" s="960">
        <f>INDEX(Reykjavík!$A$2:$H$60,MATCH(" Þar af vegna dreifitapa",Reykjavík!$A$2:$A$60,0),MATCH($C$4,Reykjavík!$A$3:$H$3,0))</f>
        <v>293.42737599359168</v>
      </c>
      <c r="C13" s="956"/>
      <c r="D13" s="956"/>
      <c r="E13" s="956"/>
    </row>
    <row r="14" spans="1:28" x14ac:dyDescent="0.6">
      <c r="A14" s="956" t="s">
        <v>104</v>
      </c>
      <c r="B14" s="960">
        <f>INDEX(Reykjavík!$A$2:$H$60,MATCH("Losun vegna hitaveitu",Reykjavík!$A$2:$A$60,0),MATCH($C$4,Reykjavík!$A$3:$H$3,0))</f>
        <v>18668.286</v>
      </c>
      <c r="C14" s="956"/>
      <c r="D14" s="956"/>
      <c r="E14" s="956"/>
      <c r="F14" s="963"/>
    </row>
    <row r="15" spans="1:28" ht="15.25" thickBot="1" x14ac:dyDescent="0.85">
      <c r="A15" s="958" t="s">
        <v>78</v>
      </c>
      <c r="B15" s="959">
        <f>B16+B17+B18</f>
        <v>356334.47828659596</v>
      </c>
      <c r="C15" s="960">
        <f>B15</f>
        <v>356334.47828659596</v>
      </c>
      <c r="D15" s="956"/>
      <c r="E15" s="956"/>
    </row>
    <row r="16" spans="1:28" ht="13.75" thickTop="1" x14ac:dyDescent="0.6">
      <c r="A16" s="956" t="s">
        <v>105</v>
      </c>
      <c r="B16" s="960">
        <f>INDEX(Reykjavík!$A$2:$H$60,MATCH("Losun vegna götuumferðar",Reykjavík!$A$2:$A$60,0),MATCH($C$4,Reykjavík!$A$3:$H$3,0))</f>
        <v>314219.62422918761</v>
      </c>
      <c r="C16" s="956"/>
      <c r="D16" s="956"/>
      <c r="E16" s="956"/>
      <c r="AB16" s="950"/>
    </row>
    <row r="17" spans="1:5" x14ac:dyDescent="0.6">
      <c r="A17" s="956" t="s">
        <v>106</v>
      </c>
      <c r="B17" s="960">
        <f>INDEX(Reykjavík!$A$2:$H$60,MATCH("Losun vegna skipa",Reykjavík!$A$2:$A$60,0),MATCH($C$4,Reykjavík!$A$3:$H$3,0))</f>
        <v>37572.295806000002</v>
      </c>
      <c r="C17" s="956"/>
      <c r="D17" s="956"/>
      <c r="E17" s="956"/>
    </row>
    <row r="18" spans="1:5" x14ac:dyDescent="0.6">
      <c r="A18" s="956" t="s">
        <v>107</v>
      </c>
      <c r="B18" s="960">
        <f>INDEX(Reykjavík!$A$2:$H$60,MATCH("Losun vegna flugumferðar",Reykjavík!$A$2:$A$60,0),MATCH($C$4,Reykjavík!$A$3:$H$3,0))</f>
        <v>4542.5582514083553</v>
      </c>
      <c r="C18" s="956"/>
      <c r="D18" s="956"/>
      <c r="E18" s="956"/>
    </row>
    <row r="19" spans="1:5" ht="15.25" thickBot="1" x14ac:dyDescent="0.85">
      <c r="A19" s="958" t="s">
        <v>32</v>
      </c>
      <c r="B19" s="959">
        <f>B20-B21+B22-B23+B24+B25</f>
        <v>52686.13948807706</v>
      </c>
      <c r="C19" s="960">
        <f>B19-B24</f>
        <v>49779.139984440124</v>
      </c>
      <c r="D19" s="956"/>
      <c r="E19" s="960">
        <f>B24</f>
        <v>2906.9995036369351</v>
      </c>
    </row>
    <row r="20" spans="1:5" ht="13.75" thickTop="1" x14ac:dyDescent="0.6">
      <c r="A20" s="956" t="s">
        <v>108</v>
      </c>
      <c r="B20" s="960">
        <f>INDEX(Reykjavík!$A$2:$H$60,MATCH("Losun vegna urðunar",Reykjavík!$A$2:$A$60,0),MATCH($C$4,Reykjavík!$A$3:$H$3,0))</f>
        <v>74613.602059842509</v>
      </c>
      <c r="C20" s="956"/>
      <c r="D20" s="956"/>
      <c r="E20" s="956"/>
    </row>
    <row r="21" spans="1:5" x14ac:dyDescent="0.6">
      <c r="A21" s="962" t="s">
        <v>606</v>
      </c>
      <c r="B21" s="960">
        <f>B20-INDEX(Reykjavík!$A$2:$H$60,MATCH("urðun úrgangs reykjavíkur",Reykjavík!$A$2:$A$60,0),MATCH($C$4,Reykjavík!$A$3:$H$3,0))</f>
        <v>32892.113279631136</v>
      </c>
      <c r="C21" s="956"/>
      <c r="D21" s="960"/>
      <c r="E21" s="956"/>
    </row>
    <row r="22" spans="1:5" x14ac:dyDescent="0.6">
      <c r="A22" s="962" t="s">
        <v>55</v>
      </c>
      <c r="B22" s="960">
        <f>INDEX(Reykjavík!$A$2:$H$60,MATCH("losun vegna jarðgerðar",Reykjavík!$A$2:$A$60,0),MATCH($C$4,Reykjavík!$A$3:$H$3,0))</f>
        <v>361.2</v>
      </c>
      <c r="C22" s="956"/>
      <c r="D22" s="956"/>
      <c r="E22" s="956"/>
    </row>
    <row r="23" spans="1:5" x14ac:dyDescent="0.6">
      <c r="A23" s="962" t="s">
        <v>606</v>
      </c>
      <c r="B23" s="960">
        <f>B22-INDEX(Reykjavík!$A$2:$H$60,MATCH("jarðgerð úrgangs reykjavíkur",Reykjavík!$A$2:$A$60,0),MATCH($C$4,Reykjavík!$A$3:$H$3,0))</f>
        <v>159.22875975179588</v>
      </c>
      <c r="C23" s="956"/>
      <c r="D23" s="956"/>
      <c r="E23" s="956"/>
    </row>
    <row r="24" spans="1:5" x14ac:dyDescent="0.6">
      <c r="A24" s="956" t="s">
        <v>109</v>
      </c>
      <c r="B24" s="960">
        <f>INDEX(Reykjavík!$A$2:$H$60,MATCH("Losun vegna brennslu",Reykjavík!$A$2:$A$60,0),MATCH($C$4,Reykjavík!$A$3:$H$3,0))</f>
        <v>2906.9995036369351</v>
      </c>
      <c r="C24" s="956"/>
      <c r="D24" s="956"/>
      <c r="E24" s="956"/>
    </row>
    <row r="25" spans="1:5" x14ac:dyDescent="0.6">
      <c r="A25" s="956" t="s">
        <v>110</v>
      </c>
      <c r="B25" s="960">
        <f>INDEX(Reykjavík!$A$2:$H$60,MATCH("Losun vegna fráveitu",Reykjavík!$A$2:$A$60,0),MATCH($C$4,Reykjavík!$A$3:$H$3,0))</f>
        <v>7855.6799639805449</v>
      </c>
      <c r="C25" s="956"/>
      <c r="D25" s="956"/>
      <c r="E25" s="956"/>
    </row>
    <row r="26" spans="1:5" ht="15.25" thickBot="1" x14ac:dyDescent="0.85">
      <c r="A26" s="958" t="s">
        <v>630</v>
      </c>
      <c r="B26" s="959">
        <f>B27+B28</f>
        <v>48074.424525923067</v>
      </c>
      <c r="C26" s="960">
        <f>B26</f>
        <v>48074.424525923067</v>
      </c>
      <c r="D26" s="956"/>
      <c r="E26" s="956"/>
    </row>
    <row r="27" spans="1:5" ht="13.75" thickTop="1" x14ac:dyDescent="0.6">
      <c r="A27" s="956" t="s">
        <v>112</v>
      </c>
      <c r="B27" s="960">
        <f>INDEX(Reykjavík!$A$2:$H$60,MATCH("Losun vegna búfjárræktunar",Reykjavík!$A$2:$A$60,0),MATCH($C$4,Reykjavík!$A$3:$H$3,0))</f>
        <v>2652.4245259230693</v>
      </c>
      <c r="C27" s="956"/>
      <c r="D27" s="956"/>
      <c r="E27" s="956"/>
    </row>
    <row r="28" spans="1:5" x14ac:dyDescent="0.6">
      <c r="A28" s="956" t="s">
        <v>111</v>
      </c>
      <c r="B28" s="956">
        <f>INDEX(Reykjavík!$A$2:$H$60,MATCH("Losun vegna landnotkunar",Reykjavík!$A$2:$A$60,0),MATCH($C$4,Reykjavík!$A$3:$H$3,0))</f>
        <v>45422</v>
      </c>
      <c r="C28" s="956"/>
      <c r="E28" s="956"/>
    </row>
    <row r="29" spans="1:5" ht="15.25" thickBot="1" x14ac:dyDescent="0.85">
      <c r="A29" s="958" t="s">
        <v>548</v>
      </c>
      <c r="B29" s="959">
        <f>B30+B31+B32</f>
        <v>52143.957556071611</v>
      </c>
      <c r="C29" s="960">
        <f>B29-B31</f>
        <v>44673.55755607161</v>
      </c>
      <c r="D29" s="964"/>
      <c r="E29" s="961">
        <f>B31</f>
        <v>7470.4000000000005</v>
      </c>
    </row>
    <row r="30" spans="1:5" ht="13.75" thickTop="1" x14ac:dyDescent="0.6">
      <c r="A30" s="965" t="s">
        <v>48</v>
      </c>
      <c r="B30" s="966">
        <f>INDEX(Reykjavík!$A$2:$H$134,MATCH("Samtals losun vegna efnanotkunar",Reykjavík!$A$2:$A$134,0),MATCH($C$4,Reykjavík!$A$3:$H$3,0))</f>
        <v>37093.38998472425</v>
      </c>
      <c r="C30" s="960"/>
      <c r="D30" s="964"/>
      <c r="E30" s="960"/>
    </row>
    <row r="31" spans="1:5" x14ac:dyDescent="0.6">
      <c r="A31" s="965" t="s">
        <v>113</v>
      </c>
      <c r="B31" s="966">
        <f>INDEX(Reykjavík!$A$2:$H$134,MATCH("byggingariðnaður",Reykjavík!$A$2:$A$134,0),MATCH($C$4,Reykjavík!$A$3:$H$3,0))</f>
        <v>7470.4000000000005</v>
      </c>
      <c r="C31" s="956"/>
      <c r="D31" s="956"/>
      <c r="E31" s="960"/>
    </row>
    <row r="32" spans="1:5" x14ac:dyDescent="0.6">
      <c r="A32" s="965" t="s">
        <v>42</v>
      </c>
      <c r="B32" s="966">
        <f>INDEX(Reykjavík!$A$2:$H$134,MATCH("losun matvælaframleiðslu í RVK",Reykjavík!$A$2:$A$134,0),MATCH($C$4,Reykjavík!$A$3:$H$3,0))</f>
        <v>7580.1675713473605</v>
      </c>
      <c r="C32" s="956"/>
      <c r="D32" s="956"/>
      <c r="E32" s="960"/>
    </row>
    <row r="33" spans="1:5" ht="14.5" x14ac:dyDescent="0.7">
      <c r="A33" s="967" t="s">
        <v>21</v>
      </c>
      <c r="B33" s="960">
        <f>B26+B19+B15+B11+B29</f>
        <v>534590.89719326131</v>
      </c>
      <c r="C33" s="960">
        <f>SUM(C11:C31)</f>
        <v>498861.60035303078</v>
      </c>
      <c r="D33" s="960">
        <f>SUM(D11:D31)</f>
        <v>25058.469960599999</v>
      </c>
      <c r="E33" s="960">
        <f>SUM(E11:E31)</f>
        <v>10670.826879630527</v>
      </c>
    </row>
    <row r="34" spans="1:5" x14ac:dyDescent="0.6">
      <c r="A34" s="956" t="s">
        <v>621</v>
      </c>
      <c r="B34" s="968">
        <f>Reykjavík!J157</f>
        <v>4.1048641615383517</v>
      </c>
      <c r="C34" s="968">
        <f>Reykjavík!J158</f>
        <v>3.8857449856339419</v>
      </c>
      <c r="D34" s="969">
        <f>Reykjavík!J159</f>
        <v>0.19455813158814775</v>
      </c>
      <c r="E34" s="969">
        <f>Reykjavík!J160</f>
        <v>8.1891154442504333E-2</v>
      </c>
    </row>
    <row r="37" spans="1:5" x14ac:dyDescent="0.6">
      <c r="C37" s="961"/>
    </row>
    <row r="59" spans="1:2" x14ac:dyDescent="0.6">
      <c r="A59" s="970" t="s">
        <v>617</v>
      </c>
      <c r="B59" s="970" t="s">
        <v>623</v>
      </c>
    </row>
    <row r="60" spans="1:2" ht="18" x14ac:dyDescent="0.8">
      <c r="A60" s="971" t="s">
        <v>616</v>
      </c>
      <c r="B60" s="971" t="s">
        <v>549</v>
      </c>
    </row>
    <row r="75" spans="7:8" ht="15.25" x14ac:dyDescent="0.65">
      <c r="G75" s="972">
        <f>Reykjavík!J125</f>
        <v>434079.08773527306</v>
      </c>
      <c r="H75" s="973" t="s">
        <v>619</v>
      </c>
    </row>
    <row r="76" spans="7:8" ht="15.25" x14ac:dyDescent="0.65">
      <c r="G76" s="974">
        <f>Reykjavík!J155</f>
        <v>3.3312542706363768</v>
      </c>
      <c r="H76" s="973" t="s">
        <v>620</v>
      </c>
    </row>
    <row r="83" spans="1:8" x14ac:dyDescent="0.6">
      <c r="A83" s="970" t="s">
        <v>617</v>
      </c>
      <c r="B83" s="970" t="s">
        <v>623</v>
      </c>
    </row>
    <row r="84" spans="1:8" ht="18" x14ac:dyDescent="0.8">
      <c r="A84" s="971" t="s">
        <v>616</v>
      </c>
      <c r="B84" s="971" t="s">
        <v>550</v>
      </c>
    </row>
    <row r="95" spans="1:8" ht="15.25" x14ac:dyDescent="0.65">
      <c r="G95" s="972">
        <f>Reykjavík!J126</f>
        <v>519540.32962191396</v>
      </c>
      <c r="H95" s="973" t="s">
        <v>619</v>
      </c>
    </row>
    <row r="96" spans="1:8" ht="15.25" x14ac:dyDescent="0.65">
      <c r="G96" s="974">
        <f>Reykjavík!J156</f>
        <v>3.9871097012540884</v>
      </c>
      <c r="H96" s="973" t="s">
        <v>620</v>
      </c>
    </row>
  </sheetData>
  <sheetProtection algorithmName="SHA-512" hashValue="W35yQXDjgrThHcmPSHB/5Nb+5dEJZXftu7ru6mIBmPOTBU5nm9SUaJThGdi8GCp7EjOEehNjCa3v/tMML9/FiQ==" saltValue="IPpQMjIcIN2XLQZbjiIocg==" spinCount="100000" sheet="1" selectLockedCell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3E34C25-EE92-4947-BE41-B0F371D4EAF2}">
          <x14:formula1>
            <xm:f>Reykjavík!$D$3:$H$3</xm:f>
          </x14:formula1>
          <xm:sqref>C4</xm:sqref>
        </x14:dataValidation>
        <x14:dataValidation type="list" allowBlank="1" showInputMessage="1" showErrorMessage="1" xr:uid="{44E761EC-1901-4D9E-9026-3055F4F3E89A}">
          <x14:formula1>
            <xm:f>Reykjavík!$M$114:$R$114</xm:f>
          </x14:formula1>
          <xm:sqref>A60 A84</xm:sqref>
        </x14:dataValidation>
        <x14:dataValidation type="list" allowBlank="1" showInputMessage="1" showErrorMessage="1" xr:uid="{B541C18B-30E1-45D0-A621-103DCE61DD1D}">
          <x14:formula1>
            <xm:f>OFFSET(Reykjavík!$M$114,1,MATCH($A60,Reykjavík!$M$114:$R$114,0)-1,COUNTA(OFFSET(Reykjavík!$M$114,1,MATCH($A60,Reykjavík!$M$114:$R$114,0)-1,7,1)),1)</xm:f>
          </x14:formula1>
          <xm:sqref>B60 B84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474A4-8F4B-4B23-8AE5-D33F075DEAF2}">
  <dimension ref="A1:U228"/>
  <sheetViews>
    <sheetView topLeftCell="A59" zoomScaleNormal="100" workbookViewId="0">
      <selection activeCell="H83" sqref="H83"/>
    </sheetView>
  </sheetViews>
  <sheetFormatPr defaultRowHeight="13" x14ac:dyDescent="0.6"/>
  <cols>
    <col min="1" max="1" width="31.40625" customWidth="1"/>
    <col min="2" max="2" width="10.1328125" customWidth="1"/>
    <col min="3" max="3" width="12.7265625" bestFit="1" customWidth="1"/>
    <col min="4" max="4" width="11.40625" customWidth="1"/>
    <col min="5" max="5" width="12.7265625" bestFit="1" customWidth="1"/>
    <col min="6" max="6" width="15.40625" customWidth="1"/>
    <col min="7" max="7" width="12.86328125" bestFit="1" customWidth="1"/>
    <col min="8" max="8" width="12.1328125" customWidth="1"/>
    <col min="9" max="9" width="12.7265625" bestFit="1" customWidth="1"/>
    <col min="10" max="10" width="18.7265625" customWidth="1"/>
    <col min="12" max="12" width="10.1328125" bestFit="1" customWidth="1"/>
    <col min="14" max="14" width="11.26953125" bestFit="1" customWidth="1"/>
    <col min="15" max="15" width="10.7265625" customWidth="1"/>
    <col min="17" max="17" width="11.26953125" bestFit="1" customWidth="1"/>
    <col min="18" max="18" width="12.40625" bestFit="1" customWidth="1"/>
    <col min="19" max="19" width="11.26953125" bestFit="1" customWidth="1"/>
    <col min="21" max="21" width="10.86328125" bestFit="1" customWidth="1"/>
  </cols>
  <sheetData>
    <row r="1" spans="1:21" ht="47" x14ac:dyDescent="0.6">
      <c r="A1" s="10" t="s">
        <v>377</v>
      </c>
      <c r="B1" s="8"/>
      <c r="C1" s="9"/>
      <c r="D1" s="9"/>
      <c r="E1" s="9"/>
      <c r="F1" s="9"/>
      <c r="G1" s="9"/>
      <c r="H1" s="9"/>
    </row>
    <row r="2" spans="1:21" s="33" customFormat="1" ht="23.5" x14ac:dyDescent="0.6">
      <c r="A2" s="10"/>
      <c r="B2" s="8"/>
      <c r="C2" s="9"/>
      <c r="D2" s="9"/>
      <c r="E2" s="9"/>
      <c r="F2" s="9"/>
      <c r="G2" s="9"/>
      <c r="H2" s="9"/>
    </row>
    <row r="3" spans="1:21" s="46" customFormat="1" ht="21" customHeight="1" x14ac:dyDescent="0.6">
      <c r="A3" s="6" t="s">
        <v>71</v>
      </c>
      <c r="B3" s="4" t="s">
        <v>0</v>
      </c>
      <c r="C3" s="5">
        <v>2015</v>
      </c>
      <c r="D3" s="5">
        <v>2016</v>
      </c>
      <c r="E3" s="5">
        <v>2017</v>
      </c>
      <c r="F3" s="5">
        <v>2018</v>
      </c>
      <c r="G3" s="5">
        <v>2019</v>
      </c>
      <c r="H3" s="5">
        <v>2020</v>
      </c>
    </row>
    <row r="4" spans="1:21" s="46" customFormat="1" ht="21" customHeight="1" x14ac:dyDescent="0.65">
      <c r="A4" s="11" t="s">
        <v>72</v>
      </c>
      <c r="B4" s="7"/>
      <c r="C4" s="36">
        <f>120905+525</f>
        <v>121430</v>
      </c>
      <c r="D4" s="36">
        <f>121518+522</f>
        <v>122040</v>
      </c>
      <c r="E4" s="36">
        <f>122229+521</f>
        <v>122750</v>
      </c>
      <c r="F4" s="36">
        <f>124891+545</f>
        <v>125436</v>
      </c>
      <c r="G4" s="36">
        <f>127411+546</f>
        <v>127957</v>
      </c>
      <c r="H4" s="27">
        <f>129770+535</f>
        <v>130305</v>
      </c>
      <c r="J4" s="46" t="s">
        <v>77</v>
      </c>
      <c r="L4" s="37"/>
      <c r="M4" s="37"/>
      <c r="N4" s="37"/>
      <c r="O4" s="37"/>
      <c r="P4" s="37"/>
      <c r="Q4" s="35"/>
    </row>
    <row r="5" spans="1:21" s="46" customFormat="1" ht="21" customHeight="1" x14ac:dyDescent="0.65">
      <c r="A5" s="13" t="s">
        <v>73</v>
      </c>
      <c r="B5" s="7"/>
      <c r="C5" s="36">
        <f>C4+27873+11866+2512+33178+4411+8951+227+834</f>
        <v>211282</v>
      </c>
      <c r="D5" s="36">
        <f>D4+28187+12172+2471+34123+4415+9134+225+852</f>
        <v>213619</v>
      </c>
      <c r="E5" s="36">
        <f>E4+28701+12612+2537+35228+4450+8446+228+926</f>
        <v>215878</v>
      </c>
      <c r="F5" s="36">
        <f>F4+29411+13104+2538+35953+4575+10225+223+1039</f>
        <v>222504</v>
      </c>
      <c r="G5" s="36">
        <f>G4+29798+13668+2570+36958+4664+11119+221+1273</f>
        <v>228228</v>
      </c>
      <c r="H5" s="27">
        <f>H4+29971+14276+2582+37938+4726+11734+229+1273</f>
        <v>233034</v>
      </c>
      <c r="L5" s="37"/>
      <c r="M5" s="37"/>
      <c r="N5" s="37"/>
      <c r="O5" s="37"/>
      <c r="P5" s="37"/>
      <c r="Q5" s="35"/>
    </row>
    <row r="6" spans="1:21" s="46" customFormat="1" ht="21" customHeight="1" x14ac:dyDescent="0.65">
      <c r="A6" s="11" t="s">
        <v>74</v>
      </c>
      <c r="B6" s="7"/>
      <c r="C6" s="48">
        <f t="shared" ref="C6:H6" si="0">C4/C5</f>
        <v>0.57472950842949233</v>
      </c>
      <c r="D6" s="48">
        <f t="shared" si="0"/>
        <v>0.57129749694549647</v>
      </c>
      <c r="E6" s="48">
        <f t="shared" si="0"/>
        <v>0.56860819536960694</v>
      </c>
      <c r="F6" s="48">
        <f t="shared" si="0"/>
        <v>0.56374716859022755</v>
      </c>
      <c r="G6" s="48">
        <f t="shared" si="0"/>
        <v>0.5606542580226791</v>
      </c>
      <c r="H6" s="49">
        <f t="shared" si="0"/>
        <v>0.55916733180565925</v>
      </c>
      <c r="L6" s="37"/>
      <c r="M6" s="37"/>
      <c r="N6" s="37"/>
      <c r="O6" s="37"/>
      <c r="P6" s="37"/>
      <c r="Q6" s="35"/>
    </row>
    <row r="7" spans="1:21" s="46" customFormat="1" ht="21" customHeight="1" x14ac:dyDescent="0.65">
      <c r="A7" s="11" t="s">
        <v>75</v>
      </c>
      <c r="B7" s="7"/>
      <c r="C7" s="36">
        <v>329100</v>
      </c>
      <c r="D7" s="36">
        <v>332529</v>
      </c>
      <c r="E7" s="36">
        <v>338349</v>
      </c>
      <c r="F7" s="36">
        <v>348450</v>
      </c>
      <c r="G7" s="36">
        <v>365991</v>
      </c>
      <c r="H7" s="27">
        <v>364134</v>
      </c>
      <c r="L7" s="37"/>
      <c r="M7" s="37"/>
      <c r="N7" s="37"/>
      <c r="O7" s="37"/>
      <c r="P7" s="37"/>
      <c r="Q7" s="35"/>
    </row>
    <row r="8" spans="1:21" s="46" customFormat="1" ht="21" customHeight="1" x14ac:dyDescent="0.6">
      <c r="A8" s="11" t="s">
        <v>76</v>
      </c>
      <c r="B8" s="7"/>
      <c r="C8" s="48">
        <f t="shared" ref="C8:H8" si="1">C5/C7</f>
        <v>0.64199939228198111</v>
      </c>
      <c r="D8" s="48">
        <f t="shared" si="1"/>
        <v>0.64240712840083125</v>
      </c>
      <c r="E8" s="48">
        <f t="shared" si="1"/>
        <v>0.63803350977836493</v>
      </c>
      <c r="F8" s="48">
        <f t="shared" si="1"/>
        <v>0.6385535944898838</v>
      </c>
      <c r="G8" s="48">
        <f t="shared" si="1"/>
        <v>0.6235891046501143</v>
      </c>
      <c r="H8" s="49">
        <f t="shared" si="1"/>
        <v>0.63996770419680671</v>
      </c>
      <c r="T8" s="46">
        <v>1061600</v>
      </c>
      <c r="U8" s="45">
        <f>T8/($T$13)</f>
        <v>0.8166782060158474</v>
      </c>
    </row>
    <row r="9" spans="1:21" s="46" customFormat="1" ht="21" customHeight="1" x14ac:dyDescent="0.6">
      <c r="A9" s="42" t="s">
        <v>74</v>
      </c>
      <c r="B9" s="23"/>
      <c r="C9" s="48">
        <f t="shared" ref="C9:H9" si="2">C4/C7</f>
        <v>0.36897599513825585</v>
      </c>
      <c r="D9" s="48">
        <f t="shared" si="2"/>
        <v>0.36700558447533899</v>
      </c>
      <c r="E9" s="48">
        <f t="shared" si="2"/>
        <v>0.36279108258041254</v>
      </c>
      <c r="F9" s="48">
        <f t="shared" si="2"/>
        <v>0.35998278088678431</v>
      </c>
      <c r="G9" s="48">
        <f t="shared" si="2"/>
        <v>0.34961788677863664</v>
      </c>
      <c r="H9" s="49">
        <f t="shared" si="2"/>
        <v>0.35784903359752179</v>
      </c>
      <c r="T9" s="46">
        <v>35000</v>
      </c>
      <c r="U9" s="45">
        <f>T9/($T$13)</f>
        <v>2.6925148088314487E-2</v>
      </c>
    </row>
    <row r="10" spans="1:21" s="46" customFormat="1" ht="21" customHeight="1" x14ac:dyDescent="0.65">
      <c r="A10" s="36"/>
      <c r="B10" s="39"/>
      <c r="C10" s="36"/>
      <c r="D10" s="36"/>
      <c r="E10" s="36"/>
      <c r="F10" s="36"/>
      <c r="G10" s="36"/>
      <c r="H10" s="29"/>
      <c r="J10" s="35"/>
      <c r="K10" s="37"/>
      <c r="L10" s="37"/>
      <c r="M10" s="37"/>
      <c r="N10" s="37"/>
      <c r="O10" s="37"/>
      <c r="P10" s="35"/>
      <c r="T10" s="46">
        <v>59000</v>
      </c>
      <c r="U10" s="45">
        <f>T10/($T$13)</f>
        <v>4.5388106777444419E-2</v>
      </c>
    </row>
    <row r="11" spans="1:21" s="46" customFormat="1" ht="21" customHeight="1" x14ac:dyDescent="0.65">
      <c r="A11" s="36"/>
      <c r="B11" s="39"/>
      <c r="C11" s="36"/>
      <c r="D11" s="36"/>
      <c r="E11" s="36"/>
      <c r="F11" s="36"/>
      <c r="G11" s="36"/>
      <c r="H11" s="29"/>
      <c r="J11" s="35"/>
      <c r="K11" s="37"/>
      <c r="L11" s="37"/>
      <c r="M11" s="37"/>
      <c r="N11" s="37"/>
      <c r="O11" s="37"/>
      <c r="P11" s="35"/>
      <c r="T11" s="788">
        <v>96100</v>
      </c>
      <c r="U11" s="45">
        <f>T11/($T$13)</f>
        <v>7.392876375105778E-2</v>
      </c>
    </row>
    <row r="12" spans="1:21" s="33" customFormat="1" ht="21" customHeight="1" x14ac:dyDescent="0.6">
      <c r="A12" s="6" t="s">
        <v>33</v>
      </c>
      <c r="B12" s="4" t="s">
        <v>0</v>
      </c>
      <c r="C12" s="5">
        <v>2015</v>
      </c>
      <c r="D12" s="5">
        <v>2016</v>
      </c>
      <c r="E12" s="5">
        <v>2017</v>
      </c>
      <c r="F12" s="5">
        <v>2018</v>
      </c>
      <c r="G12" s="5">
        <v>2019</v>
      </c>
      <c r="H12" s="5">
        <v>2020</v>
      </c>
      <c r="T12" s="788">
        <v>48200</v>
      </c>
      <c r="U12" s="45">
        <f>T12/($T$13)</f>
        <v>3.7079775367335949E-2</v>
      </c>
    </row>
    <row r="13" spans="1:21" s="33" customFormat="1" ht="21" customHeight="1" x14ac:dyDescent="0.65">
      <c r="A13" s="11" t="s">
        <v>21</v>
      </c>
      <c r="B13" s="7" t="s">
        <v>4</v>
      </c>
      <c r="C13" s="36">
        <f>SUM(C14:C17)</f>
        <v>4763990.67673383</v>
      </c>
      <c r="D13" s="36">
        <f>SUM(D14:D17)</f>
        <v>4716621.3359553115</v>
      </c>
      <c r="E13" s="36">
        <f>SUM(E14:E17)</f>
        <v>4795414.4242398413</v>
      </c>
      <c r="F13" s="36">
        <f>SUM(F14:F17)</f>
        <v>4822179.6107744761</v>
      </c>
      <c r="G13" s="36">
        <f>SUM(G14:G17)</f>
        <v>4722345.8912667092</v>
      </c>
      <c r="H13" s="27"/>
      <c r="J13" s="33" t="s">
        <v>34</v>
      </c>
      <c r="L13" s="37"/>
      <c r="M13" s="37"/>
      <c r="N13" s="37"/>
      <c r="O13" s="37"/>
      <c r="P13" s="37"/>
      <c r="Q13" s="35"/>
      <c r="T13" s="33">
        <f>SUM(T8:T12)</f>
        <v>1299900</v>
      </c>
    </row>
    <row r="14" spans="1:21" s="33" customFormat="1" ht="21" customHeight="1" x14ac:dyDescent="0.65">
      <c r="A14" s="13" t="s">
        <v>28</v>
      </c>
      <c r="B14" s="7" t="s">
        <v>4</v>
      </c>
      <c r="C14" s="36">
        <v>1852173.2603319914</v>
      </c>
      <c r="D14" s="36">
        <v>1827497.9452542874</v>
      </c>
      <c r="E14" s="36">
        <v>1870516.2136826504</v>
      </c>
      <c r="F14" s="36">
        <v>1912881.1387623274</v>
      </c>
      <c r="G14" s="36">
        <v>1854913.2341564749</v>
      </c>
      <c r="H14" s="27"/>
      <c r="L14" s="37"/>
      <c r="M14" s="37"/>
      <c r="N14" s="37"/>
      <c r="O14" s="37"/>
      <c r="P14" s="37"/>
      <c r="Q14" s="35"/>
    </row>
    <row r="15" spans="1:21" s="33" customFormat="1" ht="21" customHeight="1" x14ac:dyDescent="0.65">
      <c r="A15" s="11" t="s">
        <v>30</v>
      </c>
      <c r="B15" s="7" t="s">
        <v>4</v>
      </c>
      <c r="C15" s="36">
        <v>1998359.9071267762</v>
      </c>
      <c r="D15" s="36">
        <v>1986578.5495812562</v>
      </c>
      <c r="E15" s="36">
        <v>2024053.8991116346</v>
      </c>
      <c r="F15" s="36">
        <v>2022534.9274018391</v>
      </c>
      <c r="G15" s="36">
        <v>2024369.7415438371</v>
      </c>
      <c r="H15" s="27"/>
      <c r="L15" s="37"/>
      <c r="M15" s="37"/>
      <c r="N15" s="37"/>
      <c r="O15" s="37"/>
      <c r="P15" s="37"/>
      <c r="Q15" s="35"/>
    </row>
    <row r="16" spans="1:21" s="33" customFormat="1" ht="21" customHeight="1" x14ac:dyDescent="0.65">
      <c r="A16" s="11" t="s">
        <v>31</v>
      </c>
      <c r="B16" s="7" t="s">
        <v>4</v>
      </c>
      <c r="C16" s="36">
        <v>652566.7699157265</v>
      </c>
      <c r="D16" s="36">
        <v>654297.80497823202</v>
      </c>
      <c r="E16" s="36">
        <v>655941.5185512543</v>
      </c>
      <c r="F16" s="36">
        <v>631905.28155984322</v>
      </c>
      <c r="G16" s="36">
        <v>618847.81243340939</v>
      </c>
      <c r="H16" s="28"/>
      <c r="L16" s="37"/>
      <c r="M16" s="37"/>
      <c r="N16" s="37"/>
      <c r="O16" s="37"/>
      <c r="P16" s="37"/>
      <c r="Q16" s="35"/>
    </row>
    <row r="17" spans="1:16" s="33" customFormat="1" ht="21" customHeight="1" x14ac:dyDescent="0.6">
      <c r="A17" s="11" t="s">
        <v>32</v>
      </c>
      <c r="B17" s="7" t="s">
        <v>4</v>
      </c>
      <c r="C17" s="36">
        <v>260890.73935933571</v>
      </c>
      <c r="D17" s="36">
        <v>248247.03614153631</v>
      </c>
      <c r="E17" s="36">
        <v>244902.79289430167</v>
      </c>
      <c r="F17" s="36">
        <v>254858.26305046614</v>
      </c>
      <c r="G17" s="36">
        <v>224215.10313298742</v>
      </c>
      <c r="H17" s="29"/>
    </row>
    <row r="18" spans="1:16" s="46" customFormat="1" ht="21" customHeight="1" x14ac:dyDescent="0.6">
      <c r="A18" s="42"/>
      <c r="B18" s="23"/>
      <c r="C18" s="36"/>
      <c r="D18" s="36"/>
      <c r="E18" s="36"/>
      <c r="F18" s="36"/>
      <c r="G18" s="36"/>
      <c r="H18" s="29"/>
    </row>
    <row r="19" spans="1:16" s="33" customFormat="1" ht="24.75" customHeight="1" x14ac:dyDescent="0.6">
      <c r="A19" s="6" t="s">
        <v>28</v>
      </c>
      <c r="B19" s="4" t="s">
        <v>0</v>
      </c>
      <c r="C19" s="5">
        <v>2015</v>
      </c>
      <c r="D19" s="5">
        <v>2016</v>
      </c>
      <c r="E19" s="5">
        <v>2017</v>
      </c>
      <c r="F19" s="5">
        <v>2018</v>
      </c>
      <c r="G19" s="5">
        <v>2019</v>
      </c>
      <c r="H19" s="5">
        <v>2020</v>
      </c>
    </row>
    <row r="20" spans="1:16" s="33" customFormat="1" ht="15" customHeight="1" x14ac:dyDescent="0.65">
      <c r="A20" s="39" t="s">
        <v>67</v>
      </c>
      <c r="B20" s="80" t="s">
        <v>7</v>
      </c>
      <c r="C20" s="36"/>
      <c r="D20" s="36">
        <f>INDEX(Orka!$C$8:$J$12,MATCH(D$3,Orka!$C$8:$C$12,0),MATCH("Heildarorka [kwh]",Orka!$C$8:$J$8,0))</f>
        <v>983200000</v>
      </c>
      <c r="E20" s="36">
        <f>INDEX(Orka!$C$8:$J$12,MATCH(E$19,Orka!$C$8:$C$12,0),MATCH("Heildarorka [kwh]",Orka!$C$8:$J$8,0))</f>
        <v>1085400000</v>
      </c>
      <c r="F20" s="36">
        <f>INDEX(Orka!$C$14:$J$17,MATCH(F$19,Orka!$C$14:$C$17,0),MATCH("Heildarorka [kwh]",Orka!$C$8:$J$8,0))</f>
        <v>835181321.80246878</v>
      </c>
      <c r="G20" s="36">
        <f>INDEX(Orka!$C$14:$J$17,MATCH(G$19,Orka!$C$14:$C$17,0),MATCH("Heildarorka [kwh]",Orka!$C$8:$J$8,0))</f>
        <v>824597669.14894867</v>
      </c>
      <c r="H20" s="27">
        <f>INDEX(Orka!$C$14:$J$17,MATCH(H$19,Orka!$C$14:$C$17,0),MATCH("Heildarorka [kwh]",Orka!$C$8:$J$8,0))</f>
        <v>805254377.9028424</v>
      </c>
      <c r="J20" s="35" t="s">
        <v>513</v>
      </c>
      <c r="K20" s="37"/>
      <c r="L20" s="37"/>
      <c r="M20" s="37"/>
      <c r="N20" s="37"/>
      <c r="O20" s="37"/>
      <c r="P20" s="35"/>
    </row>
    <row r="21" spans="1:16" s="46" customFormat="1" ht="15" customHeight="1" x14ac:dyDescent="0.65">
      <c r="A21" s="39" t="s">
        <v>66</v>
      </c>
      <c r="B21" s="80" t="s">
        <v>70</v>
      </c>
      <c r="C21" s="43">
        <v>10.4</v>
      </c>
      <c r="D21" s="43">
        <f>INDEX(Orka!$C$8:$J$12,MATCH(D$19,Orka!$C$8:$C$12,0),MATCH("Stuðull [g CO2 íg/kwh]",Orka!$C$8:$J$8,0))</f>
        <v>8.9</v>
      </c>
      <c r="E21" s="43">
        <f>INDEX(Orka!$C$8:$J$12,MATCH(E$19,Orka!$C$8:$C$12,0),MATCH("Stuðull [g CO2 íg/kwh]",Orka!$C$8:$J$8,0))</f>
        <v>8.1</v>
      </c>
      <c r="F21" s="43">
        <f>INDEX(Orka!$C$14:$J$17,MATCH(F$19,Orka!$C$14:$C$17,0),MATCH("Stuðull [g CO2 íg/kwh]",Orka!$C$14:$J$14,0))</f>
        <v>7.9</v>
      </c>
      <c r="G21" s="43">
        <f>INDEX(Orka!$C$14:$J$17,MATCH(G$19,Orka!$C$14:$C$17,0),MATCH("Stuðull [g CO2 íg/kwh]",Orka!$C$14:$J$14,0))</f>
        <v>8</v>
      </c>
      <c r="H21" s="79">
        <f>INDEX(Orka!$C$14:$J$17,MATCH(H$19,Orka!$C$14:$C$17,0),MATCH("Stuðull [g CO2 íg/kwh]",Orka!$C$14:$J$14,0))</f>
        <v>8.3000000000000007</v>
      </c>
      <c r="J21" s="35"/>
      <c r="K21" s="37"/>
      <c r="L21" s="37"/>
      <c r="M21" s="37"/>
      <c r="N21" s="37"/>
      <c r="O21" s="37"/>
      <c r="P21" s="35"/>
    </row>
    <row r="22" spans="1:16" s="46" customFormat="1" ht="15" customHeight="1" x14ac:dyDescent="0.65">
      <c r="A22" s="128" t="s">
        <v>101</v>
      </c>
      <c r="B22" s="81" t="s">
        <v>4</v>
      </c>
      <c r="C22" s="43"/>
      <c r="D22" s="36">
        <f>INDEX(Orka!$C$8:$J$12,MATCH(D$19,Orka!$C$8:$C$12,0),MATCH("Losun [tCO2 íg]",Orka!$C$8:$J$8,0))</f>
        <v>8750.48</v>
      </c>
      <c r="E22" s="36">
        <f>INDEX(Orka!$C$8:$J$12,MATCH(E$19,Orka!$C$8:$C$12,0),MATCH("Losun [tCO2 íg]",Orka!$C$8:$J$8,0))</f>
        <v>8791.74</v>
      </c>
      <c r="F22" s="36">
        <f>INDEX(Orka!$C$14:$J$17,MATCH(F$19,Orka!$C$14:$C$17,0),MATCH("Losun [tCO2 íg]",Orka!$C$14:$J$14,0))</f>
        <v>6597.9324422395039</v>
      </c>
      <c r="G22" s="36">
        <f>INDEX(Orka!$C$14:$J$17,MATCH(G$19,Orka!$C$14:$C$17,0),MATCH("Losun [tCO2 íg]",Orka!$C$14:$J$14,0))</f>
        <v>6596.781353191589</v>
      </c>
      <c r="H22" s="82">
        <f>INDEX(Orka!$C$14:$J$17,MATCH(H$19,Orka!$C$14:$C$17,0),MATCH("Losun [tCO2 íg]",Orka!$C$14:$J$14,0))</f>
        <v>6683.6113365935926</v>
      </c>
      <c r="K22" s="37"/>
      <c r="L22" s="37"/>
      <c r="M22" s="37"/>
      <c r="N22" s="37"/>
      <c r="O22" s="37"/>
      <c r="P22" s="35"/>
    </row>
    <row r="23" spans="1:16" s="788" customFormat="1" ht="15" customHeight="1" x14ac:dyDescent="0.65">
      <c r="A23" s="128" t="s">
        <v>625</v>
      </c>
      <c r="B23" s="81" t="s">
        <v>4</v>
      </c>
      <c r="C23" s="43"/>
      <c r="D23" s="36"/>
      <c r="E23" s="36"/>
      <c r="F23" s="36">
        <f>Orka!L17</f>
        <v>241.92783673950339</v>
      </c>
      <c r="G23" s="36">
        <f>Orka!L16</f>
        <v>224.03085719158972</v>
      </c>
      <c r="H23" s="82">
        <f>Orka!L15</f>
        <v>293.42737599359168</v>
      </c>
      <c r="K23" s="37"/>
      <c r="L23" s="37"/>
      <c r="M23" s="37"/>
      <c r="N23" s="37"/>
      <c r="O23" s="37"/>
      <c r="P23" s="35"/>
    </row>
    <row r="24" spans="1:16" s="46" customFormat="1" ht="15" customHeight="1" x14ac:dyDescent="0.65">
      <c r="A24" s="39" t="s">
        <v>135</v>
      </c>
      <c r="B24" s="81" t="s">
        <v>96</v>
      </c>
      <c r="C24" s="43"/>
      <c r="D24" s="43">
        <f>INDEX(Orka!$C$24:$J$31,MATCH(D$19,Orka!$C$24:$C$31,0),MATCH("Vatnsvinnsla hitaveitu í RVK [GL]",Orka!$C$24:$J$24,0))</f>
        <v>69.45</v>
      </c>
      <c r="E24" s="43">
        <f>INDEX(Orka!$C$24:$J$31,MATCH(E$19,Orka!$C$24:$C$31,0),MATCH("Vatnsvinnsla hitaveitu í RVK [GL]",Orka!$C$24:$J$24,0))</f>
        <v>72.64</v>
      </c>
      <c r="F24" s="43">
        <f>INDEX(Orka!$C$24:$J$31,MATCH(F$19,Orka!$C$24:$C$31,0),MATCH("Vatnsvinnsla hitaveitu í RVK [GL]",Orka!$C$24:$J$24,0))</f>
        <v>77.52</v>
      </c>
      <c r="G24" s="43">
        <f>INDEX(Orka!$C$24:$J$31,MATCH(G$19,Orka!$C$24:$C$31,0),MATCH("Vatnsvinnsla hitaveitu í RVK [GL]",Orka!$C$24:$J$24,0))</f>
        <v>75.430000000000007</v>
      </c>
      <c r="H24" s="79">
        <f>INDEX(Orka!$C$24:$J$31,MATCH(H$19,Orka!$C$24:$C$31,0),MATCH("Vatnsvinnsla hitaveitu í RVK [GL]",Orka!$C$24:$J$24,0))</f>
        <v>82.53</v>
      </c>
      <c r="J24" s="809" t="s">
        <v>514</v>
      </c>
      <c r="K24" s="37"/>
      <c r="L24" s="37"/>
      <c r="M24" s="37"/>
      <c r="N24" s="37"/>
      <c r="O24" s="37"/>
      <c r="P24" s="35"/>
    </row>
    <row r="25" spans="1:16" s="46" customFormat="1" ht="15" customHeight="1" x14ac:dyDescent="0.65">
      <c r="A25" s="39" t="s">
        <v>66</v>
      </c>
      <c r="B25" s="80" t="s">
        <v>136</v>
      </c>
      <c r="C25" s="43"/>
      <c r="D25" s="36">
        <f>INDEX(Orka!$C$24:$J$31,MATCH(D$19,Orka!$C$24:$C$31,0),MATCH("Stuðull [g CO2 íg/m3]",Orka!$C$24:$J$24,0))</f>
        <v>220.4</v>
      </c>
      <c r="E25" s="36">
        <f>INDEX(Orka!$C$24:$J$31,MATCH(E$19,Orka!$C$24:$C$31,0),MATCH("Stuðull [g CO2 íg/m3]",Orka!$C$24:$J$24,0))</f>
        <v>203</v>
      </c>
      <c r="F25" s="43">
        <f>INDEX(Orka!$C$24:$J$31,MATCH(F$19,Orka!$C$24:$C$31,0),MATCH("Stuðull [g CO2 íg/m3]",Orka!$C$24:$J$24,0))</f>
        <v>197.2</v>
      </c>
      <c r="G25" s="43">
        <f>INDEX(Orka!$C$24:$J$31,MATCH(G$19,Orka!$C$24:$C$31,0),MATCH("Stuðull [g CO2 íg/m3]",Orka!$C$24:$J$24,0))</f>
        <v>197.2</v>
      </c>
      <c r="H25" s="79">
        <f>INDEX(Orka!$C$24:$J$31,MATCH(H$19,Orka!$C$24:$C$31,0),MATCH("Stuðull [g CO2 íg/m3]",Orka!$C$24:$J$24,0))</f>
        <v>226.2</v>
      </c>
      <c r="J25" s="35"/>
      <c r="K25" s="37"/>
      <c r="L25" s="37"/>
      <c r="M25" s="37"/>
      <c r="N25" s="37"/>
      <c r="O25" s="37"/>
      <c r="P25" s="35"/>
    </row>
    <row r="26" spans="1:16" s="46" customFormat="1" ht="15" customHeight="1" x14ac:dyDescent="0.65">
      <c r="A26" s="128" t="s">
        <v>140</v>
      </c>
      <c r="B26" s="81" t="s">
        <v>4</v>
      </c>
      <c r="C26" s="36"/>
      <c r="D26" s="36">
        <f>INDEX(Orka!$C$24:$J$31,MATCH(D$19,Orka!$C$24:$C$31,0),MATCH("Losun [tCO2 íg]",Orka!$C$24:$J$24,0))</f>
        <v>15306.78</v>
      </c>
      <c r="E26" s="36">
        <f>INDEX(Orka!$C$24:$J$31,MATCH(E$19,Orka!$C$24:$C$31,0),MATCH("Losun [tCO2 íg]",Orka!$C$24:$J$24,0))</f>
        <v>14745.92</v>
      </c>
      <c r="F26" s="36">
        <f>INDEX(Orka!$C$24:$J$31,MATCH(F$19,Orka!$C$24:$C$31,0),MATCH("Losun [tCO2 íg]",Orka!$C$24:$J$24,0))</f>
        <v>15286.943999999998</v>
      </c>
      <c r="G26" s="36">
        <f>INDEX(Orka!$C$24:$J$31,MATCH(G$19,Orka!$C$24:$C$31,0),MATCH("Losun [tCO2 íg]",Orka!$C$24:$J$24,0))</f>
        <v>14874.796</v>
      </c>
      <c r="H26" s="27">
        <f>INDEX(Orka!$C$24:$J$31,MATCH(H$19,Orka!$C$24:$C$31,0),MATCH("Losun [tCO2 íg]",Orka!$C$24:$J$24,0))</f>
        <v>18668.286</v>
      </c>
      <c r="J26" s="35"/>
      <c r="K26" s="37"/>
      <c r="L26" s="37"/>
      <c r="M26" s="37"/>
      <c r="N26" s="37"/>
      <c r="O26" s="37"/>
      <c r="P26" s="35"/>
    </row>
    <row r="27" spans="1:16" s="33" customFormat="1" ht="15" customHeight="1" x14ac:dyDescent="0.65">
      <c r="A27" s="36"/>
      <c r="B27" s="39"/>
      <c r="C27" s="36"/>
      <c r="D27" s="36"/>
      <c r="E27" s="36"/>
      <c r="F27" s="36"/>
      <c r="G27" s="36"/>
      <c r="H27" s="29"/>
      <c r="J27" s="35"/>
      <c r="K27" s="37"/>
      <c r="L27" s="37"/>
      <c r="M27" s="37"/>
      <c r="N27" s="37"/>
      <c r="O27" s="37"/>
      <c r="P27" s="35"/>
    </row>
    <row r="28" spans="1:16" s="33" customFormat="1" ht="24.75" customHeight="1" x14ac:dyDescent="0.6">
      <c r="A28" s="6" t="s">
        <v>78</v>
      </c>
      <c r="B28" s="4"/>
      <c r="C28" s="5">
        <v>2015</v>
      </c>
      <c r="D28" s="5">
        <v>2016</v>
      </c>
      <c r="E28" s="5">
        <v>2017</v>
      </c>
      <c r="F28" s="5">
        <v>2018</v>
      </c>
      <c r="G28" s="5">
        <v>2019</v>
      </c>
      <c r="H28" s="5">
        <v>2020</v>
      </c>
    </row>
    <row r="29" spans="1:16" s="33" customFormat="1" ht="15" customHeight="1" x14ac:dyDescent="0.65">
      <c r="A29" s="39" t="s">
        <v>368</v>
      </c>
      <c r="B29" s="39" t="s">
        <v>489</v>
      </c>
      <c r="C29" s="36">
        <f>Götuumferð!X21</f>
        <v>1124.1116169619909</v>
      </c>
      <c r="D29" s="36">
        <f>Götuumferð!FC9</f>
        <v>1205.1014318343243</v>
      </c>
      <c r="E29" s="36">
        <f>Götuumferð!EX9</f>
        <v>1301.5424339599781</v>
      </c>
      <c r="F29" s="36">
        <f>Götuumferð!ES9</f>
        <v>1338.0409232983668</v>
      </c>
      <c r="G29" s="36">
        <f>Götuumferð!DC9</f>
        <v>1352.8759503865979</v>
      </c>
      <c r="H29" s="27">
        <f>Götuumferð!BM9</f>
        <v>1214.7848904384769</v>
      </c>
      <c r="J29" s="33" t="s">
        <v>511</v>
      </c>
      <c r="L29" s="37"/>
      <c r="M29" s="37"/>
      <c r="N29" s="37"/>
      <c r="O29" s="37"/>
      <c r="P29" s="37"/>
    </row>
    <row r="30" spans="1:16" s="33" customFormat="1" ht="15" customHeight="1" x14ac:dyDescent="0.65">
      <c r="A30" s="128" t="s">
        <v>369</v>
      </c>
      <c r="B30" s="81" t="s">
        <v>4</v>
      </c>
      <c r="C30" s="43"/>
      <c r="D30" s="36">
        <f>SUM(D31:D33)</f>
        <v>311175.28168884345</v>
      </c>
      <c r="E30" s="36">
        <f>SUM(E31:E33)</f>
        <v>336077.79629056074</v>
      </c>
      <c r="F30" s="36">
        <f>SUM(F31:F33)</f>
        <v>345502.25418353896</v>
      </c>
      <c r="G30" s="36">
        <f>SUM(G31:G33)</f>
        <v>351387.74283085542</v>
      </c>
      <c r="H30" s="82">
        <f>SUM(H31:H33)</f>
        <v>314219.62422918761</v>
      </c>
      <c r="J30" s="34" t="s">
        <v>510</v>
      </c>
      <c r="P30" s="37"/>
    </row>
    <row r="31" spans="1:16" s="478" customFormat="1" ht="15" customHeight="1" x14ac:dyDescent="0.65">
      <c r="A31" s="39" t="s">
        <v>504</v>
      </c>
      <c r="B31" s="81" t="s">
        <v>4</v>
      </c>
      <c r="C31" s="43"/>
      <c r="D31" s="36">
        <f>Götuumferð!FC21</f>
        <v>215949.80562994696</v>
      </c>
      <c r="E31" s="36">
        <f>Götuumferð!EX21</f>
        <v>233231.68341519832</v>
      </c>
      <c r="F31" s="36">
        <f>Götuumferð!ES21</f>
        <v>239772.08032304575</v>
      </c>
      <c r="G31" s="36">
        <f>Götuumferð!DC21</f>
        <v>242474.11516524735</v>
      </c>
      <c r="H31" s="82">
        <f>Götuumferð!BM21</f>
        <v>218748.33750437558</v>
      </c>
      <c r="J31" s="478" t="s">
        <v>225</v>
      </c>
      <c r="P31" s="37"/>
    </row>
    <row r="32" spans="1:16" s="478" customFormat="1" ht="15" customHeight="1" x14ac:dyDescent="0.65">
      <c r="A32" s="39" t="s">
        <v>505</v>
      </c>
      <c r="B32" s="81" t="s">
        <v>4</v>
      </c>
      <c r="C32" s="43"/>
      <c r="D32" s="36">
        <f>Götuumferð!FC22</f>
        <v>16107.539181567041</v>
      </c>
      <c r="E32" s="36">
        <f>Götuumferð!EX22</f>
        <v>17396.581895659609</v>
      </c>
      <c r="F32" s="36">
        <f>Götuumferð!ES22</f>
        <v>17884.42535145174</v>
      </c>
      <c r="G32" s="36">
        <f>Götuumferð!DC22</f>
        <v>18194.119507371812</v>
      </c>
      <c r="H32" s="82">
        <f>Götuumferð!BM22</f>
        <v>14249.07499839491</v>
      </c>
      <c r="J32" s="478" t="s">
        <v>512</v>
      </c>
      <c r="P32" s="37"/>
    </row>
    <row r="33" spans="1:16" s="478" customFormat="1" ht="15" customHeight="1" x14ac:dyDescent="0.65">
      <c r="A33" s="39" t="s">
        <v>506</v>
      </c>
      <c r="B33" s="81" t="s">
        <v>4</v>
      </c>
      <c r="C33" s="43"/>
      <c r="D33" s="36">
        <f>Götuumferð!FC23</f>
        <v>79117.936877329455</v>
      </c>
      <c r="E33" s="36">
        <f>Götuumferð!EX23</f>
        <v>85449.530979702788</v>
      </c>
      <c r="F33" s="36">
        <f>Götuumferð!ES23</f>
        <v>87845.748509041441</v>
      </c>
      <c r="G33" s="36">
        <f>Götuumferð!DC23</f>
        <v>90719.508158236305</v>
      </c>
      <c r="H33" s="82">
        <f>Götuumferð!BM23</f>
        <v>81222.211726417096</v>
      </c>
      <c r="P33" s="37"/>
    </row>
    <row r="34" spans="1:16" s="33" customFormat="1" ht="15" customHeight="1" x14ac:dyDescent="0.65">
      <c r="A34" s="39" t="s">
        <v>370</v>
      </c>
      <c r="B34" s="39"/>
      <c r="C34" s="36" t="e">
        <f>HLOOKUP(Skip!$AI$8,Skip!$AD$8:$AI$73,MATCH(C$28,Skip!$B$8:$B$73,0),FALSE)</f>
        <v>#N/A</v>
      </c>
      <c r="D34" s="36">
        <f>HLOOKUP(Skip!$AI$8,Skip!$AD$8:$AI$73,MATCH(D$28,Skip!$B$8:$B$73,0),FALSE)</f>
        <v>6943</v>
      </c>
      <c r="E34" s="36">
        <f>HLOOKUP(Skip!$AI$8,Skip!$AD$8:$AI$73,MATCH(E$28,Skip!$B$8:$B$73,0),FALSE)</f>
        <v>6621</v>
      </c>
      <c r="F34" s="36">
        <f>HLOOKUP(Skip!$AI$8,Skip!$AD$8:$AI$73,MATCH(F$28,Skip!$B$8:$B$73,0),FALSE)</f>
        <v>5815</v>
      </c>
      <c r="G34" s="36">
        <f>HLOOKUP(Skip!$AI$8,Skip!$AD$8:$AI$73,MATCH(G$28,Skip!$B$8:$B$73,0),FALSE)</f>
        <v>6765</v>
      </c>
      <c r="H34" s="27">
        <f>HLOOKUP(Skip!$AI$8,Skip!$AD$8:$AI$73,MATCH(H$28,Skip!$B$8:$B$73,0),FALSE)</f>
        <v>2653</v>
      </c>
      <c r="J34" s="33" t="s">
        <v>509</v>
      </c>
      <c r="K34" s="36"/>
      <c r="L34" s="36"/>
      <c r="M34" s="36"/>
      <c r="N34" s="36"/>
      <c r="O34" s="36"/>
      <c r="P34" s="37"/>
    </row>
    <row r="35" spans="1:16" s="33" customFormat="1" ht="15" customHeight="1" x14ac:dyDescent="0.65">
      <c r="A35" s="128" t="s">
        <v>367</v>
      </c>
      <c r="B35" s="81" t="s">
        <v>4</v>
      </c>
      <c r="C35" s="36" t="e">
        <f>HLOOKUP(Skip!$AG$8,Skip!$AD$8:$AI$73,MATCH(C$28,Skip!$B$8:$B$73,0),FALSE)</f>
        <v>#N/A</v>
      </c>
      <c r="D35" s="39">
        <f>HLOOKUP(Skip!$AG$8,Skip!$AD$8:$AI$73,MATCH(D$28,Skip!$B$8:$B$73,0),FALSE)</f>
        <v>40017.414575000003</v>
      </c>
      <c r="E35" s="39">
        <f>HLOOKUP(Skip!$AG$8,Skip!$AD$8:$AI$73,MATCH(E$28,Skip!$B$8:$B$73,0),FALSE)</f>
        <v>35952.374654999992</v>
      </c>
      <c r="F35" s="39">
        <f>HLOOKUP(Skip!$AG$8,Skip!$AD$8:$AI$73,MATCH(F$28,Skip!$B$8:$B$73,0),FALSE)</f>
        <v>41527.022368999998</v>
      </c>
      <c r="G35" s="39">
        <f>HLOOKUP(Skip!$AG$8,Skip!$AD$8:$AI$73,MATCH(G$28,Skip!$B$8:$B$73,0),FALSE)</f>
        <v>51073.751804799998</v>
      </c>
      <c r="H35" s="27">
        <f>HLOOKUP(Skip!$AG$8,Skip!$AD$8:$AI$73,MATCH(H$28,Skip!$B$8:$B$73,0),FALSE)</f>
        <v>37572.295806000002</v>
      </c>
      <c r="L35" s="37"/>
      <c r="M35" s="37"/>
      <c r="N35" s="37"/>
      <c r="O35" s="37"/>
      <c r="P35" s="37"/>
    </row>
    <row r="36" spans="1:16" s="478" customFormat="1" ht="15" customHeight="1" x14ac:dyDescent="0.65">
      <c r="A36" s="39" t="s">
        <v>507</v>
      </c>
      <c r="B36" s="81"/>
      <c r="C36" s="36"/>
      <c r="D36" s="39">
        <f>HLOOKUP(Flug!$AY$9,Flug!$AW$9:$BA$65,MATCH(D$28,Flug!$AX$9:$AX$65,0),FALSE)</f>
        <v>63732</v>
      </c>
      <c r="E36" s="39">
        <f>HLOOKUP(Flug!$AY$9,Flug!$AW$9:$BA$65,MATCH(E$28,Flug!$AX$9:$AX$65,0),FALSE)</f>
        <v>64656</v>
      </c>
      <c r="F36" s="39">
        <f>HLOOKUP(Flug!$AY$9,Flug!$AW$9:$BA$65,MATCH(F$28,Flug!$AX$9:$AX$65,0),FALSE)</f>
        <v>64190</v>
      </c>
      <c r="G36" s="39">
        <f>HLOOKUP(Flug!$AY$9,Flug!$AW$9:$BA$65,MATCH(G$28,Flug!$AX$9:$AX$65,0),FALSE)</f>
        <v>59689</v>
      </c>
      <c r="H36" s="27">
        <f>HLOOKUP(Flug!$AY$9,Flug!$AW$9:$BA$65,MATCH(H$28,Flug!$AX$9:$AX$65,0),FALSE)</f>
        <v>40561</v>
      </c>
      <c r="J36" s="478" t="s">
        <v>508</v>
      </c>
      <c r="L36" s="37"/>
      <c r="M36" s="37"/>
      <c r="N36" s="37"/>
      <c r="O36" s="37"/>
      <c r="P36" s="37"/>
    </row>
    <row r="37" spans="1:16" s="47" customFormat="1" ht="15" customHeight="1" x14ac:dyDescent="0.65">
      <c r="A37" s="128" t="s">
        <v>371</v>
      </c>
      <c r="B37" s="81" t="s">
        <v>4</v>
      </c>
      <c r="C37" s="36"/>
      <c r="D37" s="39">
        <f>HLOOKUP(Flug!$BA$9,Flug!$AW$9:$BA$65,MATCH(D$28,Flug!$AX$9:$AX$65,0),FALSE)</f>
        <v>5400.7160188601574</v>
      </c>
      <c r="E37" s="39">
        <f>HLOOKUP(Flug!$BA$9,Flug!$AW$9:$BA$65,MATCH(E$28,Flug!$AX$9:$AX$65,0),FALSE)</f>
        <v>4792.3453956006551</v>
      </c>
      <c r="F37" s="39">
        <f>HLOOKUP(Flug!$BA$9,Flug!$AW$9:$BA$65,MATCH(F$28,Flug!$AX$9:$AX$65,0),FALSE)</f>
        <v>7325.3866733465939</v>
      </c>
      <c r="G37" s="39">
        <f>HLOOKUP(Flug!$BA$9,Flug!$AW$9:$BA$65,MATCH(G$28,Flug!$AX$9:$AX$65,0),FALSE)</f>
        <v>6937.1982702861123</v>
      </c>
      <c r="H37" s="27">
        <f>HLOOKUP(Flug!$BA$9,Flug!$AW$9:$BA$65,MATCH(H$28,Flug!$AX$9:$AX$65,0),FALSE)</f>
        <v>4542.5582514083553</v>
      </c>
      <c r="L37" s="37"/>
      <c r="M37" s="37"/>
      <c r="N37" s="37"/>
      <c r="O37" s="37"/>
      <c r="P37" s="37"/>
    </row>
    <row r="38" spans="1:16" s="33" customFormat="1" ht="13.5" customHeight="1" x14ac:dyDescent="0.6">
      <c r="A38" s="1"/>
      <c r="B38" s="2"/>
      <c r="C38" s="3"/>
      <c r="D38" s="3"/>
      <c r="E38" s="3"/>
      <c r="F38" s="3"/>
      <c r="G38" s="3"/>
      <c r="H38" s="3"/>
    </row>
    <row r="39" spans="1:16" s="33" customFormat="1" ht="24.75" customHeight="1" x14ac:dyDescent="0.6">
      <c r="A39" s="6" t="s">
        <v>372</v>
      </c>
      <c r="B39" s="4" t="s">
        <v>0</v>
      </c>
      <c r="C39" s="5">
        <v>2015</v>
      </c>
      <c r="D39" s="5">
        <v>2016</v>
      </c>
      <c r="E39" s="5">
        <v>2017</v>
      </c>
      <c r="F39" s="5">
        <v>2018</v>
      </c>
      <c r="G39" s="5">
        <v>2019</v>
      </c>
      <c r="H39" s="5">
        <v>2020</v>
      </c>
    </row>
    <row r="40" spans="1:16" s="33" customFormat="1" ht="15" customHeight="1" x14ac:dyDescent="0.65">
      <c r="A40" s="39" t="s">
        <v>373</v>
      </c>
      <c r="B40" s="39" t="s">
        <v>24</v>
      </c>
      <c r="C40" s="39">
        <f>Úrgangur!AF9</f>
        <v>92851.460999999996</v>
      </c>
      <c r="D40" s="39">
        <f>Úrgangur!AG9</f>
        <v>104269.54300000001</v>
      </c>
      <c r="E40" s="39">
        <f>Úrgangur!AH9</f>
        <v>123079.44</v>
      </c>
      <c r="F40" s="39">
        <f>Úrgangur!AI9</f>
        <v>123080.44</v>
      </c>
      <c r="G40" s="39">
        <f>Úrgangur!AJ9</f>
        <v>111254.22</v>
      </c>
      <c r="H40" s="27">
        <f>Úrgangur!AK9</f>
        <v>89065.2</v>
      </c>
      <c r="J40" s="33" t="s">
        <v>515</v>
      </c>
      <c r="L40" s="37"/>
      <c r="M40" s="37"/>
      <c r="N40" s="37"/>
      <c r="O40" s="37"/>
      <c r="P40" s="37"/>
    </row>
    <row r="41" spans="1:16" s="47" customFormat="1" ht="15" customHeight="1" x14ac:dyDescent="0.65">
      <c r="A41" s="39" t="s">
        <v>374</v>
      </c>
      <c r="B41" s="81" t="s">
        <v>4</v>
      </c>
      <c r="C41" s="39">
        <f>Úrgangur!AF13</f>
        <v>77785.50951133536</v>
      </c>
      <c r="D41" s="39">
        <f>Úrgangur!AG13</f>
        <v>87350.909090909088</v>
      </c>
      <c r="E41" s="39">
        <f>Úrgangur!AH13</f>
        <v>103108.73784495247</v>
      </c>
      <c r="F41" s="39">
        <f>Úrgangur!AI13</f>
        <v>103109.57558631567</v>
      </c>
      <c r="G41" s="39">
        <f>Úrgangur!AJ13</f>
        <v>93202.261922256628</v>
      </c>
      <c r="H41" s="27">
        <f>Úrgangur!AK13</f>
        <v>74613.602059842509</v>
      </c>
      <c r="J41" s="47" t="s">
        <v>598</v>
      </c>
      <c r="L41" s="37"/>
      <c r="M41" s="37"/>
      <c r="N41" s="37"/>
      <c r="O41" s="37"/>
      <c r="P41" s="37"/>
    </row>
    <row r="42" spans="1:16" s="708" customFormat="1" ht="15" customHeight="1" x14ac:dyDescent="0.65">
      <c r="A42" s="39" t="s">
        <v>604</v>
      </c>
      <c r="B42" s="81" t="s">
        <v>4</v>
      </c>
      <c r="C42" s="39">
        <f t="shared" ref="C42:H42" si="3">C41*C6</f>
        <v>44705.627644387372</v>
      </c>
      <c r="D42" s="39">
        <f t="shared" si="3"/>
        <v>49903.355719549974</v>
      </c>
      <c r="E42" s="39">
        <f t="shared" si="3"/>
        <v>58628.473352856316</v>
      </c>
      <c r="F42" s="39">
        <f t="shared" si="3"/>
        <v>58127.731291325508</v>
      </c>
      <c r="G42" s="39">
        <f t="shared" si="3"/>
        <v>52254.24500405819</v>
      </c>
      <c r="H42" s="27">
        <f t="shared" si="3"/>
        <v>41721.488780211374</v>
      </c>
      <c r="L42" s="37"/>
      <c r="M42" s="37"/>
      <c r="N42" s="37"/>
      <c r="O42" s="37"/>
      <c r="P42" s="37"/>
    </row>
    <row r="43" spans="1:16" s="464" customFormat="1" ht="15" customHeight="1" x14ac:dyDescent="0.65">
      <c r="A43" s="39" t="s">
        <v>465</v>
      </c>
      <c r="B43" s="81" t="s">
        <v>4</v>
      </c>
      <c r="C43" s="39">
        <f>Úrgangur!AF15</f>
        <v>0</v>
      </c>
      <c r="D43" s="39">
        <f>Úrgangur!AG15</f>
        <v>0</v>
      </c>
      <c r="E43" s="39">
        <f>Úrgangur!AH15</f>
        <v>0</v>
      </c>
      <c r="F43" s="39">
        <f>Úrgangur!AI15</f>
        <v>0</v>
      </c>
      <c r="G43" s="39">
        <f>Úrgangur!AJ15</f>
        <v>0</v>
      </c>
      <c r="H43" s="27">
        <f>Úrgangur!AK15</f>
        <v>361.2</v>
      </c>
      <c r="J43" s="805"/>
      <c r="L43" s="37"/>
      <c r="M43" s="37"/>
      <c r="N43" s="37"/>
      <c r="O43" s="37"/>
      <c r="P43" s="37"/>
    </row>
    <row r="44" spans="1:16" s="708" customFormat="1" ht="15" customHeight="1" x14ac:dyDescent="0.65">
      <c r="A44" s="39" t="s">
        <v>605</v>
      </c>
      <c r="B44" s="81" t="s">
        <v>4</v>
      </c>
      <c r="C44" s="39"/>
      <c r="D44" s="39">
        <f>D43*D6</f>
        <v>0</v>
      </c>
      <c r="E44" s="39">
        <f>E43*E6</f>
        <v>0</v>
      </c>
      <c r="F44" s="39">
        <f>F43*F6</f>
        <v>0</v>
      </c>
      <c r="G44" s="39">
        <f>G43*G6</f>
        <v>0</v>
      </c>
      <c r="H44" s="27">
        <f>H43*H6</f>
        <v>201.97124024820411</v>
      </c>
      <c r="L44" s="37"/>
      <c r="M44" s="37"/>
      <c r="N44" s="37"/>
      <c r="O44" s="37"/>
      <c r="P44" s="37"/>
    </row>
    <row r="45" spans="1:16" s="33" customFormat="1" ht="15" customHeight="1" x14ac:dyDescent="0.65">
      <c r="A45" s="39" t="s">
        <v>375</v>
      </c>
      <c r="B45" s="39" t="s">
        <v>8</v>
      </c>
      <c r="C45" s="36"/>
      <c r="D45" s="36">
        <f>HLOOKUP(D$39,Úrgangur!$U$10:$Z$19,7,FALSE)</f>
        <v>11019040</v>
      </c>
      <c r="E45" s="36">
        <f>HLOOKUP(E$39,Úrgangur!$U$10:$Z$19,7,FALSE)</f>
        <v>11529789</v>
      </c>
      <c r="F45" s="36">
        <f>HLOOKUP(F$39,Úrgangur!$U$10:$Z$19,7,FALSE)</f>
        <v>11479101</v>
      </c>
      <c r="G45" s="36">
        <f>HLOOKUP(G$39,Úrgangur!$U$10:$Z$19,7,FALSE)</f>
        <v>10549953</v>
      </c>
      <c r="H45" s="27">
        <f>HLOOKUP(H$39,Úrgangur!$U$10:$Z$19,7,FALSE)</f>
        <v>11023463</v>
      </c>
      <c r="J45" s="33" t="s">
        <v>516</v>
      </c>
      <c r="P45" s="37"/>
    </row>
    <row r="46" spans="1:16" s="708" customFormat="1" ht="15" customHeight="1" x14ac:dyDescent="0.65">
      <c r="A46" s="39" t="s">
        <v>536</v>
      </c>
      <c r="B46" s="39" t="s">
        <v>8</v>
      </c>
      <c r="C46" s="36"/>
      <c r="D46" s="36">
        <f>D45*D6</f>
        <v>6295149.9707423039</v>
      </c>
      <c r="E46" s="36">
        <f>E45*E6</f>
        <v>6555932.5162823452</v>
      </c>
      <c r="F46" s="36">
        <f>F45*F6</f>
        <v>6471310.6867112499</v>
      </c>
      <c r="G46" s="36">
        <f>G45*G6</f>
        <v>5914876.0713891378</v>
      </c>
      <c r="H46" s="27">
        <f>H45*H6</f>
        <v>6163960.3929684078</v>
      </c>
      <c r="P46" s="37"/>
    </row>
    <row r="47" spans="1:16" s="33" customFormat="1" ht="15" customHeight="1" x14ac:dyDescent="0.65">
      <c r="A47" s="39" t="s">
        <v>376</v>
      </c>
      <c r="B47" s="81" t="s">
        <v>4</v>
      </c>
      <c r="C47" s="36"/>
      <c r="D47" s="36">
        <f>HLOOKUP(D$39,Úrgangur!$U$10:$Z$23,13,FALSE)</f>
        <v>2834.6686298122581</v>
      </c>
      <c r="E47" s="36">
        <f>HLOOKUP(E$39,Úrgangur!$U$10:$Z$23,13,FALSE)</f>
        <v>2982.4223577013613</v>
      </c>
      <c r="F47" s="36">
        <f>HLOOKUP(F$39,Úrgangur!$U$10:$Z$23,13,FALSE)</f>
        <v>2994.9143387192307</v>
      </c>
      <c r="G47" s="36">
        <f>HLOOKUP(G$39,Úrgangur!$U$10:$Z$23,13,FALSE)</f>
        <v>2765.516533663309</v>
      </c>
      <c r="H47" s="27">
        <f>HLOOKUP(H$39,Úrgangur!$U$10:$Z$23,13,FALSE)</f>
        <v>2906.9995036369351</v>
      </c>
      <c r="K47" s="36"/>
      <c r="L47" s="36"/>
      <c r="M47" s="36"/>
      <c r="N47" s="36"/>
      <c r="O47" s="36"/>
      <c r="P47" s="37"/>
    </row>
    <row r="48" spans="1:16" s="787" customFormat="1" ht="15" customHeight="1" x14ac:dyDescent="0.65">
      <c r="A48" s="39" t="s">
        <v>574</v>
      </c>
      <c r="B48" s="81" t="s">
        <v>4</v>
      </c>
      <c r="C48" s="36">
        <f>Fráveita!C26</f>
        <v>4422.9760343999997</v>
      </c>
      <c r="D48" s="36">
        <f>Fráveita!D26</f>
        <v>4445.1947231999993</v>
      </c>
      <c r="E48" s="36">
        <f>Fráveita!E26</f>
        <v>4471.0558199999996</v>
      </c>
      <c r="F48" s="36">
        <f>Fráveita!F26</f>
        <v>4568.8908988800003</v>
      </c>
      <c r="G48" s="36">
        <f>Fráveita!G26</f>
        <v>4660.7160045600003</v>
      </c>
      <c r="H48" s="27">
        <f>Fráveita!H26</f>
        <v>4746.2397443999998</v>
      </c>
      <c r="K48" s="36"/>
      <c r="L48" s="36"/>
      <c r="M48" s="36"/>
      <c r="N48" s="36"/>
      <c r="O48" s="36"/>
      <c r="P48" s="37"/>
    </row>
    <row r="49" spans="1:16" s="787" customFormat="1" ht="15" customHeight="1" x14ac:dyDescent="0.65">
      <c r="A49" s="39" t="s">
        <v>575</v>
      </c>
      <c r="B49" s="81" t="s">
        <v>4</v>
      </c>
      <c r="C49" s="36">
        <f>Fráveita!C36</f>
        <v>1784.2628319207136</v>
      </c>
      <c r="D49" s="36">
        <f>Fráveita!D36</f>
        <v>1788.697259317946</v>
      </c>
      <c r="E49" s="36">
        <f>Fráveita!E36</f>
        <v>1794.5713175464284</v>
      </c>
      <c r="F49" s="36">
        <f>Fráveita!F36</f>
        <v>1829.231841996379</v>
      </c>
      <c r="G49" s="36">
        <f>Fráveita!G36</f>
        <v>1861.3184515422295</v>
      </c>
      <c r="H49" s="27">
        <f>Fráveita!H36</f>
        <v>1890.7343717573995</v>
      </c>
      <c r="K49" s="36"/>
      <c r="L49" s="36"/>
      <c r="M49" s="36"/>
      <c r="N49" s="36"/>
      <c r="O49" s="36"/>
      <c r="P49" s="37"/>
    </row>
    <row r="50" spans="1:16" s="787" customFormat="1" ht="15" customHeight="1" x14ac:dyDescent="0.65">
      <c r="A50" s="39" t="s">
        <v>576</v>
      </c>
      <c r="B50" s="81" t="s">
        <v>4</v>
      </c>
      <c r="C50" s="36">
        <f>Fráveita!C43</f>
        <v>1851.9774</v>
      </c>
      <c r="D50" s="36">
        <f>Fráveita!D43</f>
        <v>1719.354</v>
      </c>
      <c r="E50" s="36">
        <f>Fráveita!E43</f>
        <v>1544.3428000000001</v>
      </c>
      <c r="F50" s="36">
        <f>Fráveita!F43</f>
        <v>1692.7092000000002</v>
      </c>
      <c r="G50" s="36">
        <f>Fráveita!G43</f>
        <v>1335.5159999999998</v>
      </c>
      <c r="H50" s="27">
        <f>Fráveita!H43</f>
        <v>1218.7058478231452</v>
      </c>
      <c r="K50" s="36"/>
      <c r="L50" s="36"/>
      <c r="M50" s="36"/>
      <c r="N50" s="36"/>
      <c r="O50" s="36"/>
      <c r="P50" s="37"/>
    </row>
    <row r="51" spans="1:16" s="47" customFormat="1" ht="15" customHeight="1" x14ac:dyDescent="0.65">
      <c r="A51" s="39" t="s">
        <v>379</v>
      </c>
      <c r="B51" s="81" t="s">
        <v>4</v>
      </c>
      <c r="C51" s="36">
        <f t="shared" ref="C51:H51" si="4">SUM(C48:C50)</f>
        <v>8059.2162663207127</v>
      </c>
      <c r="D51" s="36">
        <f t="shared" si="4"/>
        <v>7953.2459825179458</v>
      </c>
      <c r="E51" s="36">
        <f t="shared" si="4"/>
        <v>7809.9699375464279</v>
      </c>
      <c r="F51" s="36">
        <f t="shared" si="4"/>
        <v>8090.8319408763791</v>
      </c>
      <c r="G51" s="36">
        <f t="shared" si="4"/>
        <v>7857.5504561022299</v>
      </c>
      <c r="H51" s="27">
        <f t="shared" si="4"/>
        <v>7855.6799639805449</v>
      </c>
      <c r="K51" s="36"/>
      <c r="L51" s="36"/>
      <c r="M51" s="36"/>
      <c r="N51" s="36"/>
      <c r="O51" s="36"/>
      <c r="P51" s="37"/>
    </row>
    <row r="52" spans="1:16" s="708" customFormat="1" ht="15" customHeight="1" x14ac:dyDescent="0.65">
      <c r="A52" s="39" t="s">
        <v>552</v>
      </c>
      <c r="B52" s="81" t="s">
        <v>4</v>
      </c>
      <c r="C52" s="36">
        <f t="shared" ref="C52:H52" si="5">C51+C47+C44+C42</f>
        <v>52764.843910708085</v>
      </c>
      <c r="D52" s="36">
        <f t="shared" si="5"/>
        <v>60691.27033188018</v>
      </c>
      <c r="E52" s="36">
        <f t="shared" si="5"/>
        <v>69420.865648104111</v>
      </c>
      <c r="F52" s="36">
        <f t="shared" si="5"/>
        <v>69213.477570921124</v>
      </c>
      <c r="G52" s="36">
        <f t="shared" si="5"/>
        <v>62877.311993823729</v>
      </c>
      <c r="H52" s="27">
        <f t="shared" si="5"/>
        <v>52686.139488077053</v>
      </c>
      <c r="K52" s="36"/>
      <c r="L52" s="36"/>
      <c r="M52" s="36"/>
      <c r="N52" s="36"/>
      <c r="O52" s="36"/>
      <c r="P52" s="37"/>
    </row>
    <row r="53" spans="1:16" s="33" customFormat="1" ht="15" customHeight="1" x14ac:dyDescent="0.65">
      <c r="A53" s="36"/>
      <c r="B53" s="39"/>
      <c r="C53" s="36"/>
      <c r="D53" s="805"/>
      <c r="E53" s="805"/>
      <c r="F53" s="805"/>
      <c r="G53" s="805"/>
      <c r="H53" s="805"/>
      <c r="J53" s="45"/>
      <c r="K53" s="45"/>
      <c r="L53" s="37"/>
      <c r="M53" s="37"/>
      <c r="N53" s="37"/>
      <c r="O53" s="37"/>
      <c r="P53" s="37"/>
    </row>
    <row r="54" spans="1:16" s="33" customFormat="1" ht="24.75" customHeight="1" x14ac:dyDescent="0.6">
      <c r="A54" s="6" t="s">
        <v>496</v>
      </c>
      <c r="B54" s="4" t="s">
        <v>0</v>
      </c>
      <c r="C54" s="5">
        <v>2015</v>
      </c>
      <c r="D54" s="5">
        <v>2016</v>
      </c>
      <c r="E54" s="5">
        <v>2017</v>
      </c>
      <c r="F54" s="5">
        <v>2018</v>
      </c>
      <c r="G54" s="5">
        <v>2019</v>
      </c>
      <c r="H54" s="5">
        <v>2020</v>
      </c>
    </row>
    <row r="55" spans="1:16" s="33" customFormat="1" ht="15" customHeight="1" x14ac:dyDescent="0.65">
      <c r="A55" s="39" t="s">
        <v>436</v>
      </c>
      <c r="B55" s="81" t="s">
        <v>4</v>
      </c>
      <c r="C55" s="39"/>
      <c r="D55" s="39">
        <f>D56-D57</f>
        <v>45422</v>
      </c>
      <c r="E55" s="39">
        <f>E56-E57</f>
        <v>45422</v>
      </c>
      <c r="F55" s="39">
        <f>F56-F57</f>
        <v>45422</v>
      </c>
      <c r="G55" s="39">
        <f>G56-G57</f>
        <v>45422</v>
      </c>
      <c r="H55" s="27">
        <f>H56-H57</f>
        <v>45422</v>
      </c>
      <c r="J55" s="810" t="s">
        <v>503</v>
      </c>
      <c r="L55" s="37"/>
      <c r="M55" s="37"/>
      <c r="N55" s="37"/>
      <c r="O55" s="37"/>
      <c r="P55" s="37"/>
    </row>
    <row r="56" spans="1:16" s="478" customFormat="1" ht="15" customHeight="1" x14ac:dyDescent="0.65">
      <c r="A56" s="39" t="s">
        <v>426</v>
      </c>
      <c r="B56" s="81" t="s">
        <v>4</v>
      </c>
      <c r="C56" s="39"/>
      <c r="D56" s="39">
        <f>'Landbúnaður og landnotkun'!$P$77</f>
        <v>56009</v>
      </c>
      <c r="E56" s="39">
        <f>'Landbúnaður og landnotkun'!$P$77</f>
        <v>56009</v>
      </c>
      <c r="F56" s="39">
        <f>'Landbúnaður og landnotkun'!$P$77</f>
        <v>56009</v>
      </c>
      <c r="G56" s="39">
        <f>'Landbúnaður og landnotkun'!$P$77</f>
        <v>56009</v>
      </c>
      <c r="H56" s="27">
        <f>'Landbúnaður og landnotkun'!$P$77</f>
        <v>56009</v>
      </c>
      <c r="L56" s="37"/>
      <c r="M56" s="37"/>
      <c r="N56" s="37"/>
      <c r="O56" s="37"/>
      <c r="P56" s="37"/>
    </row>
    <row r="57" spans="1:16" s="478" customFormat="1" ht="15" customHeight="1" x14ac:dyDescent="0.65">
      <c r="A57" s="39" t="s">
        <v>495</v>
      </c>
      <c r="B57" s="81" t="s">
        <v>4</v>
      </c>
      <c r="C57" s="39"/>
      <c r="D57" s="39">
        <f>'Landbúnaður og landnotkun'!P78</f>
        <v>10587</v>
      </c>
      <c r="E57" s="39">
        <f>'Landbúnaður og landnotkun'!P78</f>
        <v>10587</v>
      </c>
      <c r="F57" s="39">
        <f>'Landbúnaður og landnotkun'!P78</f>
        <v>10587</v>
      </c>
      <c r="G57" s="39">
        <f>'Landbúnaður og landnotkun'!P78</f>
        <v>10587</v>
      </c>
      <c r="H57" s="27">
        <f>'Landbúnaður og landnotkun'!P78</f>
        <v>10587</v>
      </c>
      <c r="L57" s="37"/>
      <c r="M57" s="37"/>
      <c r="N57" s="37"/>
      <c r="O57" s="37"/>
      <c r="P57" s="37"/>
    </row>
    <row r="58" spans="1:16" s="33" customFormat="1" ht="15" customHeight="1" x14ac:dyDescent="0.65">
      <c r="A58" s="36" t="s">
        <v>437</v>
      </c>
      <c r="B58" s="81" t="s">
        <v>4</v>
      </c>
      <c r="C58" s="39"/>
      <c r="D58" s="39">
        <f>INDEX('Landbúnaður og landnotkun'!$B$8:$G$93,MATCH(D54,'Landbúnaður og landnotkun'!$B$8:$B$93,0),MATCH("Losun",'Landbúnaður og landnotkun'!$B$8:$G$8,0))</f>
        <v>1829.6519397420795</v>
      </c>
      <c r="E58" s="39">
        <f>INDEX('Landbúnaður og landnotkun'!$B$8:$G$93,MATCH(E54,'Landbúnaður og landnotkun'!$B$8:$B$93,0),MATCH("Losun",'Landbúnaður og landnotkun'!$B$8:$G$8,0))</f>
        <v>2245.4398830453683</v>
      </c>
      <c r="F58" s="39">
        <f>INDEX('Landbúnaður og landnotkun'!$B$8:$G$93,MATCH(F54,'Landbúnaður og landnotkun'!$B$8:$B$93,0),MATCH("Losun",'Landbúnaður og landnotkun'!$B$8:$G$8,0))</f>
        <v>1691.624489923749</v>
      </c>
      <c r="G58" s="39">
        <f>INDEX('Landbúnaður og landnotkun'!$B$8:$G$93,MATCH(G54,'Landbúnaður og landnotkun'!$B$8:$B$93,0),MATCH("Losun",'Landbúnaður og landnotkun'!$B$8:$G$8,0))</f>
        <v>1710.0061987558634</v>
      </c>
      <c r="H58" s="27">
        <f>INDEX('Landbúnaður og landnotkun'!$B$8:$G$93,MATCH(H54,'Landbúnaður og landnotkun'!$B$8:$B$93,0),MATCH("Losun",'Landbúnaður og landnotkun'!$B$8:$G$8,0))</f>
        <v>2652.4245259230693</v>
      </c>
      <c r="L58" s="37"/>
      <c r="M58" s="37"/>
      <c r="N58" s="37"/>
      <c r="O58" s="37"/>
      <c r="P58" s="37"/>
    </row>
    <row r="59" spans="1:16" s="33" customFormat="1" ht="15" customHeight="1" x14ac:dyDescent="0.65">
      <c r="A59" s="39" t="s">
        <v>497</v>
      </c>
      <c r="B59" s="81" t="s">
        <v>4</v>
      </c>
      <c r="C59" s="39"/>
      <c r="D59" s="39">
        <f>'Landbúnaður og landnotkun'!G13</f>
        <v>133.76218466040802</v>
      </c>
      <c r="E59" s="39">
        <f>'Landbúnaður og landnotkun'!G30</f>
        <v>138.40119799136124</v>
      </c>
      <c r="F59" s="39">
        <f>'Landbúnaður og landnotkun'!G47</f>
        <v>106.19713567430057</v>
      </c>
      <c r="G59" s="39">
        <f>'Landbúnaður og landnotkun'!G64</f>
        <v>63.482771036872585</v>
      </c>
      <c r="H59" s="27">
        <f>'Landbúnaður og landnotkun'!G81</f>
        <v>104.86226016734406</v>
      </c>
      <c r="L59" s="37"/>
      <c r="M59" s="37"/>
      <c r="N59" s="37"/>
      <c r="O59" s="37"/>
      <c r="P59" s="37"/>
    </row>
    <row r="60" spans="1:16" s="33" customFormat="1" ht="15" customHeight="1" x14ac:dyDescent="0.65">
      <c r="A60" s="39" t="s">
        <v>498</v>
      </c>
      <c r="B60" s="81" t="s">
        <v>4</v>
      </c>
      <c r="C60" s="39"/>
      <c r="D60" s="39">
        <f>'Landbúnaður og landnotkun'!G17</f>
        <v>272.82220287113824</v>
      </c>
      <c r="E60" s="39">
        <f>'Landbúnaður og landnotkun'!G34</f>
        <v>261.98564313173353</v>
      </c>
      <c r="F60" s="39">
        <f>'Landbúnaður og landnotkun'!G51</f>
        <v>285.13553680648994</v>
      </c>
      <c r="G60" s="39">
        <f>'Landbúnaður og landnotkun'!G68</f>
        <v>288.0121654312245</v>
      </c>
      <c r="H60" s="27">
        <f>'Landbúnaður og landnotkun'!G85</f>
        <v>281.8934473198733</v>
      </c>
      <c r="L60" s="37"/>
      <c r="M60" s="37"/>
      <c r="N60" s="37"/>
      <c r="O60" s="37"/>
      <c r="P60" s="37"/>
    </row>
    <row r="61" spans="1:16" s="478" customFormat="1" ht="15" customHeight="1" x14ac:dyDescent="0.65">
      <c r="A61" s="39" t="s">
        <v>499</v>
      </c>
      <c r="B61" s="81" t="s">
        <v>4</v>
      </c>
      <c r="C61" s="39"/>
      <c r="D61" s="39">
        <f>'Landbúnaður og landnotkun'!G21</f>
        <v>641.3177322400586</v>
      </c>
      <c r="E61" s="39">
        <f>'Landbúnaður og landnotkun'!G38</f>
        <v>1039.9697248739558</v>
      </c>
      <c r="F61" s="39">
        <f>'Landbúnaður og landnotkun'!G55</f>
        <v>576.69458039937297</v>
      </c>
      <c r="G61" s="39">
        <f>'Landbúnaður og landnotkun'!G72</f>
        <v>678.98959248644951</v>
      </c>
      <c r="H61" s="27">
        <f>'Landbúnaður og landnotkun'!H89</f>
        <v>1595.7745501909105</v>
      </c>
      <c r="L61" s="37"/>
      <c r="M61" s="37"/>
      <c r="N61" s="37"/>
      <c r="O61" s="37"/>
      <c r="P61" s="37"/>
    </row>
    <row r="62" spans="1:16" s="478" customFormat="1" ht="15" customHeight="1" x14ac:dyDescent="0.65">
      <c r="A62" s="39" t="s">
        <v>500</v>
      </c>
      <c r="B62" s="81" t="s">
        <v>4</v>
      </c>
      <c r="C62" s="39"/>
      <c r="D62" s="39">
        <f>'Landbúnaður og landnotkun'!G22</f>
        <v>390.35348729421258</v>
      </c>
      <c r="E62" s="39">
        <f>'Landbúnaður og landnotkun'!G39</f>
        <v>383.10406538732002</v>
      </c>
      <c r="F62" s="39">
        <f>'Landbúnaður og landnotkun'!G56</f>
        <v>263.76742784308937</v>
      </c>
      <c r="G62" s="39">
        <f>'Landbúnaður og landnotkun'!G73</f>
        <v>230.86620534257719</v>
      </c>
      <c r="H62" s="27">
        <f>'Landbúnaður og landnotkun'!G90</f>
        <v>258.74859729216377</v>
      </c>
      <c r="L62" s="37"/>
      <c r="M62" s="37"/>
      <c r="N62" s="37"/>
      <c r="O62" s="37"/>
      <c r="P62" s="37"/>
    </row>
    <row r="63" spans="1:16" s="478" customFormat="1" ht="15" customHeight="1" x14ac:dyDescent="0.65">
      <c r="A63" s="39" t="s">
        <v>501</v>
      </c>
      <c r="B63" s="81" t="s">
        <v>4</v>
      </c>
      <c r="C63" s="39"/>
      <c r="D63" s="39">
        <f>'Landbúnaður og landnotkun'!G23</f>
        <v>5.4859286258819999</v>
      </c>
      <c r="E63" s="39">
        <f>'Landbúnaður og landnotkun'!G40</f>
        <v>5.4859286258819999</v>
      </c>
      <c r="F63" s="39">
        <f>'Landbúnaður og landnotkun'!G57</f>
        <v>6.5831143510584003</v>
      </c>
      <c r="G63" s="39">
        <f>'Landbúnaður og landnotkun'!G74</f>
        <v>1.4629143002352001</v>
      </c>
      <c r="H63" s="27">
        <f>'Landbúnaður og landnotkun'!G91</f>
        <v>6.5831143510584003</v>
      </c>
      <c r="L63" s="37"/>
      <c r="M63" s="37"/>
      <c r="N63" s="37"/>
      <c r="O63" s="37"/>
      <c r="P63" s="37"/>
    </row>
    <row r="64" spans="1:16" s="478" customFormat="1" ht="15" customHeight="1" x14ac:dyDescent="0.65">
      <c r="A64" s="39" t="s">
        <v>502</v>
      </c>
      <c r="B64" s="81" t="s">
        <v>4</v>
      </c>
      <c r="C64" s="39"/>
      <c r="D64" s="39">
        <f>'Landbúnaður og landnotkun'!G24</f>
        <v>385.91040405038024</v>
      </c>
      <c r="E64" s="39">
        <f>'Landbúnaður og landnotkun'!G41</f>
        <v>416.49332303511585</v>
      </c>
      <c r="F64" s="39">
        <f>'Landbúnaður og landnotkun'!G58</f>
        <v>453.24669484943774</v>
      </c>
      <c r="G64" s="39">
        <f>'Landbúnaður og landnotkun'!G75</f>
        <v>447.19255015850422</v>
      </c>
      <c r="H64" s="27">
        <f>'Landbúnaður og landnotkun'!G92</f>
        <v>404.56255660171917</v>
      </c>
      <c r="L64" s="37"/>
      <c r="M64" s="37"/>
      <c r="N64" s="37"/>
      <c r="O64" s="37"/>
      <c r="P64" s="37"/>
    </row>
    <row r="65" spans="1:16" ht="13.5" customHeight="1" x14ac:dyDescent="0.6">
      <c r="A65" s="1"/>
      <c r="B65" s="2"/>
      <c r="C65" s="3"/>
      <c r="D65" s="748">
        <f>SUM(D59:D64)</f>
        <v>1829.6519397420798</v>
      </c>
      <c r="E65" s="748">
        <f>SUM(E59:E64)</f>
        <v>2245.4398830453683</v>
      </c>
      <c r="F65" s="748">
        <f>SUM(F59:F64)</f>
        <v>1691.624489923749</v>
      </c>
      <c r="G65" s="748">
        <f>SUM(G59:G64)</f>
        <v>1710.0061987558631</v>
      </c>
      <c r="H65" s="748">
        <f>SUM(H59:H64)</f>
        <v>2652.4245259230693</v>
      </c>
      <c r="L65" s="33"/>
      <c r="M65" s="33"/>
      <c r="N65" s="33"/>
      <c r="O65" s="33"/>
      <c r="P65" s="33"/>
    </row>
    <row r="67" spans="1:16" ht="22.5" customHeight="1" x14ac:dyDescent="0.6">
      <c r="A67" s="6" t="s">
        <v>48</v>
      </c>
      <c r="B67" s="4" t="s">
        <v>0</v>
      </c>
      <c r="C67" s="5">
        <v>2015</v>
      </c>
      <c r="D67" s="5">
        <v>2016</v>
      </c>
      <c r="E67" s="5">
        <v>2017</v>
      </c>
      <c r="F67" s="5">
        <v>2018</v>
      </c>
      <c r="G67" s="5">
        <v>2019</v>
      </c>
      <c r="H67" s="5">
        <v>2020</v>
      </c>
      <c r="J67" s="33"/>
      <c r="K67" s="33"/>
      <c r="L67" s="33"/>
      <c r="M67" s="33"/>
      <c r="N67" s="33"/>
      <c r="O67" s="33"/>
      <c r="P67" s="33"/>
    </row>
    <row r="68" spans="1:16" s="787" customFormat="1" ht="22.5" customHeight="1" x14ac:dyDescent="0.6">
      <c r="A68" s="14" t="s">
        <v>590</v>
      </c>
      <c r="B68" s="15" t="s">
        <v>13</v>
      </c>
      <c r="C68" s="792">
        <f t="shared" ref="C68:H68" si="6">C73+C75</f>
        <v>33464.94130730148</v>
      </c>
      <c r="D68" s="792">
        <f t="shared" si="6"/>
        <v>37768.794462527403</v>
      </c>
      <c r="E68" s="792">
        <f t="shared" si="6"/>
        <v>24332.6783986228</v>
      </c>
      <c r="F68" s="792">
        <f t="shared" si="6"/>
        <v>31531.415581892918</v>
      </c>
      <c r="G68" s="792">
        <f t="shared" si="6"/>
        <v>36566.098159320303</v>
      </c>
      <c r="H68" s="792">
        <f t="shared" si="6"/>
        <v>32729.25374515056</v>
      </c>
    </row>
    <row r="69" spans="1:16" s="33" customFormat="1" ht="22.5" customHeight="1" x14ac:dyDescent="0.6">
      <c r="A69" s="13" t="s">
        <v>12</v>
      </c>
      <c r="B69" s="16" t="s">
        <v>13</v>
      </c>
      <c r="C69" s="34">
        <v>179661.59605094156</v>
      </c>
      <c r="D69" s="34">
        <v>203881.36109193339</v>
      </c>
      <c r="E69" s="34">
        <v>188905.0661273349</v>
      </c>
      <c r="F69" s="34">
        <v>163498.97185049622</v>
      </c>
      <c r="G69" s="34">
        <v>207337.502308241</v>
      </c>
      <c r="H69" s="24"/>
    </row>
    <row r="70" spans="1:16" s="33" customFormat="1" ht="22.5" customHeight="1" x14ac:dyDescent="0.6">
      <c r="A70" s="13" t="s">
        <v>26</v>
      </c>
      <c r="B70" s="16" t="s">
        <v>1</v>
      </c>
      <c r="C70" s="19">
        <v>0.5</v>
      </c>
      <c r="D70" s="19">
        <v>0.5</v>
      </c>
      <c r="E70" s="19">
        <v>0.65</v>
      </c>
      <c r="F70" s="19">
        <v>0.47</v>
      </c>
      <c r="G70" s="19">
        <v>0.5</v>
      </c>
      <c r="H70" s="24"/>
    </row>
    <row r="71" spans="1:16" s="33" customFormat="1" ht="22.5" customHeight="1" x14ac:dyDescent="0.6">
      <c r="A71" s="20" t="s">
        <v>27</v>
      </c>
      <c r="B71" s="21" t="s">
        <v>13</v>
      </c>
      <c r="C71" s="18">
        <f>C70*C69</f>
        <v>89830.79802547078</v>
      </c>
      <c r="D71" s="18">
        <f>D70*D69</f>
        <v>101940.68054596669</v>
      </c>
      <c r="E71" s="18">
        <f>E70*E69</f>
        <v>122788.29298276769</v>
      </c>
      <c r="F71" s="18">
        <f>F70*F69</f>
        <v>76844.516769733222</v>
      </c>
      <c r="G71" s="18">
        <f>G70*G69</f>
        <v>103668.7511541205</v>
      </c>
      <c r="H71" s="22"/>
    </row>
    <row r="72" spans="1:16" s="464" customFormat="1" ht="22.5" customHeight="1" x14ac:dyDescent="0.6">
      <c r="A72" s="26" t="s">
        <v>463</v>
      </c>
      <c r="B72" s="21" t="s">
        <v>13</v>
      </c>
      <c r="C72" s="18">
        <f>C69-C71</f>
        <v>89830.79802547078</v>
      </c>
      <c r="D72" s="18">
        <f>D69-D71</f>
        <v>101940.68054596669</v>
      </c>
      <c r="E72" s="18">
        <f>E69-E71</f>
        <v>66116.773144567211</v>
      </c>
      <c r="F72" s="18">
        <f>F69-F71</f>
        <v>86654.455080763</v>
      </c>
      <c r="G72" s="18">
        <f>G69-G71</f>
        <v>103668.7511541205</v>
      </c>
      <c r="H72" s="22"/>
    </row>
    <row r="73" spans="1:16" s="464" customFormat="1" ht="22.5" customHeight="1" x14ac:dyDescent="0.6">
      <c r="A73" s="26" t="s">
        <v>464</v>
      </c>
      <c r="B73" s="21" t="s">
        <v>13</v>
      </c>
      <c r="C73" s="18">
        <f>C72*C9</f>
        <v>33145.408095511753</v>
      </c>
      <c r="D73" s="18">
        <f>D72*D9</f>
        <v>37412.799045586326</v>
      </c>
      <c r="E73" s="18">
        <f>E72*E9</f>
        <v>23986.575705841085</v>
      </c>
      <c r="F73" s="18">
        <f>F72*F9</f>
        <v>31194.111716202002</v>
      </c>
      <c r="G73" s="18">
        <f>G72*G9</f>
        <v>36244.449703483959</v>
      </c>
      <c r="H73" s="786">
        <f>AVERAGE(C73:G73)</f>
        <v>32396.668853325024</v>
      </c>
    </row>
    <row r="74" spans="1:16" s="787" customFormat="1" ht="22.5" customHeight="1" x14ac:dyDescent="0.6">
      <c r="A74" s="26" t="s">
        <v>585</v>
      </c>
      <c r="B74" s="30" t="s">
        <v>587</v>
      </c>
      <c r="C74" s="791">
        <v>0.86599999999999999</v>
      </c>
      <c r="D74" s="791">
        <v>0.97</v>
      </c>
      <c r="E74" s="791">
        <v>0.95399999999999996</v>
      </c>
      <c r="F74" s="791">
        <v>0.93700000000000006</v>
      </c>
      <c r="G74" s="791">
        <v>0.92</v>
      </c>
      <c r="H74" s="791">
        <f>AVERAGE(C74:G74)</f>
        <v>0.9294</v>
      </c>
    </row>
    <row r="75" spans="1:16" s="787" customFormat="1" ht="22.5" customHeight="1" x14ac:dyDescent="0.6">
      <c r="A75" s="26" t="s">
        <v>586</v>
      </c>
      <c r="B75" s="30" t="s">
        <v>13</v>
      </c>
      <c r="C75" s="500">
        <f t="shared" ref="C75:H75" si="7">C74*C$9*1000</f>
        <v>319.53321178972953</v>
      </c>
      <c r="D75" s="500">
        <f t="shared" si="7"/>
        <v>355.99541694107876</v>
      </c>
      <c r="E75" s="500">
        <f t="shared" si="7"/>
        <v>346.10269278171359</v>
      </c>
      <c r="F75" s="500">
        <f t="shared" si="7"/>
        <v>337.30386569091689</v>
      </c>
      <c r="G75" s="500">
        <f t="shared" si="7"/>
        <v>321.6484558363457</v>
      </c>
      <c r="H75" s="500">
        <f t="shared" si="7"/>
        <v>332.58489182553672</v>
      </c>
    </row>
    <row r="76" spans="1:16" s="787" customFormat="1" ht="22.5" customHeight="1" x14ac:dyDescent="0.6">
      <c r="A76" s="793" t="s">
        <v>591</v>
      </c>
      <c r="B76" s="794" t="s">
        <v>13</v>
      </c>
      <c r="C76" s="795">
        <f t="shared" ref="C76:H76" si="8">C77+C78</f>
        <v>1891</v>
      </c>
      <c r="D76" s="795">
        <f t="shared" si="8"/>
        <v>1906</v>
      </c>
      <c r="E76" s="795">
        <f t="shared" si="8"/>
        <v>1973</v>
      </c>
      <c r="F76" s="795">
        <f t="shared" si="8"/>
        <v>1931</v>
      </c>
      <c r="G76" s="795">
        <f t="shared" si="8"/>
        <v>930</v>
      </c>
      <c r="H76" s="795">
        <f t="shared" si="8"/>
        <v>1084</v>
      </c>
    </row>
    <row r="77" spans="1:16" s="708" customFormat="1" ht="22.5" customHeight="1" x14ac:dyDescent="0.6">
      <c r="A77" s="26" t="s">
        <v>577</v>
      </c>
      <c r="B77" s="30" t="s">
        <v>13</v>
      </c>
      <c r="C77" s="18">
        <v>1598</v>
      </c>
      <c r="D77" s="18">
        <v>1520</v>
      </c>
      <c r="E77" s="18">
        <v>1630</v>
      </c>
      <c r="F77" s="18">
        <v>1635</v>
      </c>
      <c r="G77" s="18">
        <v>762</v>
      </c>
      <c r="H77" s="500">
        <v>900</v>
      </c>
    </row>
    <row r="78" spans="1:16" s="708" customFormat="1" ht="22.5" customHeight="1" x14ac:dyDescent="0.6">
      <c r="A78" s="26" t="s">
        <v>578</v>
      </c>
      <c r="B78" s="30" t="s">
        <v>13</v>
      </c>
      <c r="C78" s="499">
        <f>258+35</f>
        <v>293</v>
      </c>
      <c r="D78" s="500">
        <f>298+88</f>
        <v>386</v>
      </c>
      <c r="E78" s="500">
        <f>283+60</f>
        <v>343</v>
      </c>
      <c r="F78" s="500">
        <f>233+63</f>
        <v>296</v>
      </c>
      <c r="G78" s="500">
        <f>141+27</f>
        <v>168</v>
      </c>
      <c r="H78" s="708">
        <f>175+9</f>
        <v>184</v>
      </c>
    </row>
    <row r="79" spans="1:16" s="787" customFormat="1" ht="22.5" customHeight="1" x14ac:dyDescent="0.6">
      <c r="A79" s="793" t="s">
        <v>596</v>
      </c>
      <c r="B79" s="794" t="s">
        <v>13</v>
      </c>
      <c r="C79" s="796">
        <f t="shared" ref="C79:H79" si="9">C83+C85+C87+C89</f>
        <v>3416.8125731739592</v>
      </c>
      <c r="D79" s="796">
        <f t="shared" si="9"/>
        <v>3501.1625950232306</v>
      </c>
      <c r="E79" s="796">
        <f t="shared" si="9"/>
        <v>3435.2354081185399</v>
      </c>
      <c r="F79" s="796">
        <f t="shared" si="9"/>
        <v>3807.7391207332239</v>
      </c>
      <c r="G79" s="796">
        <f t="shared" si="9"/>
        <v>3556.2334731260394</v>
      </c>
      <c r="H79" s="796">
        <f t="shared" si="9"/>
        <v>3280.1362395736874</v>
      </c>
    </row>
    <row r="80" spans="1:16" s="708" customFormat="1" ht="22.5" customHeight="1" x14ac:dyDescent="0.6">
      <c r="A80" s="26" t="s">
        <v>581</v>
      </c>
      <c r="B80" s="30" t="s">
        <v>24</v>
      </c>
      <c r="C80" s="500">
        <f>0.93*1000*C$9</f>
        <v>343.14767547857792</v>
      </c>
      <c r="D80" s="500">
        <f>0.96*1000*D$9</f>
        <v>352.32536109632542</v>
      </c>
      <c r="E80" s="500">
        <f>1.38*1000*E$9</f>
        <v>500.65169396096928</v>
      </c>
      <c r="F80" s="500">
        <f>1.58*1000*F$9</f>
        <v>568.77279380111918</v>
      </c>
      <c r="G80" s="500">
        <f>1.67*1000*G$9</f>
        <v>583.86187092032321</v>
      </c>
      <c r="H80" s="500">
        <f>0.93*1000*H$9</f>
        <v>332.79960124569527</v>
      </c>
      <c r="J80" s="25" t="s">
        <v>434</v>
      </c>
    </row>
    <row r="81" spans="1:10" s="787" customFormat="1" ht="22.5" customHeight="1" x14ac:dyDescent="0.6">
      <c r="A81" s="26" t="s">
        <v>582</v>
      </c>
      <c r="B81" s="30" t="s">
        <v>24</v>
      </c>
      <c r="C81" s="500">
        <f>0.37*1000*C$9</f>
        <v>136.52111820115468</v>
      </c>
      <c r="D81" s="500">
        <f>0.4*1000*D$9</f>
        <v>146.8022337901356</v>
      </c>
      <c r="E81" s="500">
        <f>0.1*1000*E$9</f>
        <v>36.279108258041255</v>
      </c>
      <c r="F81" s="500">
        <f>0.08*1000*F$9</f>
        <v>28.798622470942746</v>
      </c>
      <c r="G81" s="500">
        <f>0.095*1000*G$9</f>
        <v>33.213699243970481</v>
      </c>
      <c r="H81" s="500">
        <f>0.37*1000*H$9</f>
        <v>132.40414243108307</v>
      </c>
    </row>
    <row r="82" spans="1:10" s="787" customFormat="1" ht="22.5" customHeight="1" x14ac:dyDescent="0.6">
      <c r="A82" s="26" t="s">
        <v>583</v>
      </c>
      <c r="B82" s="30" t="s">
        <v>179</v>
      </c>
      <c r="C82" s="500">
        <f t="shared" ref="C82:H82" si="10">(C80+C81)*47.3/1000</f>
        <v>22.688333941051351</v>
      </c>
      <c r="D82" s="500">
        <f t="shared" si="10"/>
        <v>23.608735238129604</v>
      </c>
      <c r="E82" s="500">
        <f t="shared" si="10"/>
        <v>25.396826944959194</v>
      </c>
      <c r="F82" s="500">
        <f t="shared" si="10"/>
        <v>28.265127989668528</v>
      </c>
      <c r="G82" s="500">
        <f t="shared" si="10"/>
        <v>29.187674468771089</v>
      </c>
      <c r="H82" s="500">
        <f t="shared" si="10"/>
        <v>22.004137075911615</v>
      </c>
    </row>
    <row r="83" spans="1:10" s="787" customFormat="1" ht="22.5" customHeight="1" x14ac:dyDescent="0.6">
      <c r="A83" s="26" t="s">
        <v>584</v>
      </c>
      <c r="B83" s="30" t="s">
        <v>13</v>
      </c>
      <c r="C83" s="500">
        <f t="shared" ref="C83:H83" si="11">C82*(63100+5*28+0.1*265)/1000</f>
        <v>1435.4114792815253</v>
      </c>
      <c r="D83" s="500">
        <f t="shared" si="11"/>
        <v>1493.6420479431267</v>
      </c>
      <c r="E83" s="500">
        <f t="shared" si="11"/>
        <v>1606.7683519132609</v>
      </c>
      <c r="F83" s="500">
        <f t="shared" si="11"/>
        <v>1788.2357199583641</v>
      </c>
      <c r="G83" s="500">
        <f t="shared" si="11"/>
        <v>1846.6020067785062</v>
      </c>
      <c r="H83" s="500">
        <f t="shared" si="11"/>
        <v>1392.1247383131622</v>
      </c>
    </row>
    <row r="84" spans="1:10" s="787" customFormat="1" ht="22.5" customHeight="1" x14ac:dyDescent="0.6">
      <c r="A84" s="26" t="s">
        <v>592</v>
      </c>
      <c r="B84" s="30" t="s">
        <v>587</v>
      </c>
      <c r="C84" s="791">
        <v>2.37</v>
      </c>
      <c r="D84" s="791">
        <v>2.37</v>
      </c>
      <c r="E84" s="791">
        <v>2.08</v>
      </c>
      <c r="F84" s="791">
        <v>2.48</v>
      </c>
      <c r="G84" s="791">
        <v>2.0699999999999998</v>
      </c>
      <c r="H84" s="791">
        <f>AVERAGE(C84:G84)</f>
        <v>2.274</v>
      </c>
    </row>
    <row r="85" spans="1:10" s="787" customFormat="1" ht="22.5" customHeight="1" x14ac:dyDescent="0.6">
      <c r="A85" s="26" t="s">
        <v>594</v>
      </c>
      <c r="B85" s="30" t="s">
        <v>13</v>
      </c>
      <c r="C85" s="500">
        <f t="shared" ref="C85:H85" si="12">C84*C$9*1000</f>
        <v>874.47310847766641</v>
      </c>
      <c r="D85" s="500">
        <f t="shared" si="12"/>
        <v>869.8032352065535</v>
      </c>
      <c r="E85" s="500">
        <f t="shared" si="12"/>
        <v>754.60545176725816</v>
      </c>
      <c r="F85" s="500">
        <f t="shared" si="12"/>
        <v>892.75729659922513</v>
      </c>
      <c r="G85" s="500">
        <f t="shared" si="12"/>
        <v>723.70902563177776</v>
      </c>
      <c r="H85" s="500">
        <f t="shared" si="12"/>
        <v>813.74870240076461</v>
      </c>
    </row>
    <row r="86" spans="1:10" s="787" customFormat="1" ht="22.5" customHeight="1" x14ac:dyDescent="0.6">
      <c r="A86" s="26" t="s">
        <v>588</v>
      </c>
      <c r="B86" s="30" t="s">
        <v>587</v>
      </c>
      <c r="C86" s="791">
        <v>0.34</v>
      </c>
      <c r="D86" s="791">
        <v>0.34</v>
      </c>
      <c r="E86" s="791">
        <v>0.24</v>
      </c>
      <c r="F86" s="791">
        <v>0.33</v>
      </c>
      <c r="G86" s="791">
        <v>0.28999999999999998</v>
      </c>
      <c r="H86" s="791">
        <f>AVERAGE(C86:G86)</f>
        <v>0.308</v>
      </c>
    </row>
    <row r="87" spans="1:10" s="787" customFormat="1" ht="22.5" customHeight="1" x14ac:dyDescent="0.6">
      <c r="A87" s="26" t="s">
        <v>589</v>
      </c>
      <c r="B87" s="30" t="s">
        <v>13</v>
      </c>
      <c r="C87" s="500">
        <f t="shared" ref="C87:H87" si="13">C86*C$9*1000</f>
        <v>125.45183834700698</v>
      </c>
      <c r="D87" s="500">
        <f t="shared" si="13"/>
        <v>124.78189872161526</v>
      </c>
      <c r="E87" s="500">
        <f t="shared" si="13"/>
        <v>87.069859819298998</v>
      </c>
      <c r="F87" s="500">
        <f t="shared" si="13"/>
        <v>118.79431769263883</v>
      </c>
      <c r="G87" s="500">
        <f t="shared" si="13"/>
        <v>101.38918716580463</v>
      </c>
      <c r="H87" s="500">
        <f t="shared" si="13"/>
        <v>110.2175023480367</v>
      </c>
    </row>
    <row r="88" spans="1:10" s="787" customFormat="1" ht="22.5" customHeight="1" x14ac:dyDescent="0.6">
      <c r="A88" s="26" t="s">
        <v>593</v>
      </c>
      <c r="B88" s="30" t="s">
        <v>587</v>
      </c>
      <c r="C88" s="791">
        <v>2.66</v>
      </c>
      <c r="D88" s="791">
        <v>2.76</v>
      </c>
      <c r="E88" s="791">
        <v>2.72</v>
      </c>
      <c r="F88" s="791">
        <v>2.8</v>
      </c>
      <c r="G88" s="791">
        <v>2.5299999999999998</v>
      </c>
      <c r="H88" s="791">
        <f>AVERAGE(C88:G88)</f>
        <v>2.694</v>
      </c>
    </row>
    <row r="89" spans="1:10" s="787" customFormat="1" ht="22.5" customHeight="1" x14ac:dyDescent="0.6">
      <c r="A89" s="26" t="s">
        <v>595</v>
      </c>
      <c r="B89" s="30" t="s">
        <v>13</v>
      </c>
      <c r="C89" s="500">
        <f t="shared" ref="C89:H89" si="14">C88*C$9*1000</f>
        <v>981.47614706776062</v>
      </c>
      <c r="D89" s="500">
        <f t="shared" si="14"/>
        <v>1012.9354131519354</v>
      </c>
      <c r="E89" s="500">
        <f t="shared" si="14"/>
        <v>986.79174461872219</v>
      </c>
      <c r="F89" s="500">
        <f t="shared" si="14"/>
        <v>1007.9517864829961</v>
      </c>
      <c r="G89" s="500">
        <f t="shared" si="14"/>
        <v>884.53325354995059</v>
      </c>
      <c r="H89" s="500">
        <f t="shared" si="14"/>
        <v>964.04529651172368</v>
      </c>
    </row>
    <row r="90" spans="1:10" s="33" customFormat="1" ht="22.5" customHeight="1" x14ac:dyDescent="0.6">
      <c r="A90" s="32" t="s">
        <v>599</v>
      </c>
      <c r="B90" s="32" t="s">
        <v>4</v>
      </c>
      <c r="C90" s="790">
        <f t="shared" ref="C90:H90" si="15">C68+C76+C79</f>
        <v>38772.753880475437</v>
      </c>
      <c r="D90" s="790">
        <f t="shared" si="15"/>
        <v>43175.957057550637</v>
      </c>
      <c r="E90" s="790">
        <f t="shared" si="15"/>
        <v>29740.913806741341</v>
      </c>
      <c r="F90" s="790">
        <f t="shared" si="15"/>
        <v>37270.15470262614</v>
      </c>
      <c r="G90" s="790">
        <f t="shared" si="15"/>
        <v>41052.331632446345</v>
      </c>
      <c r="H90" s="790">
        <f t="shared" si="15"/>
        <v>37093.38998472425</v>
      </c>
    </row>
    <row r="91" spans="1:10" ht="22.5" customHeight="1" x14ac:dyDescent="0.6">
      <c r="A91" s="1"/>
      <c r="B91" s="2"/>
      <c r="C91" s="3"/>
      <c r="D91" s="3"/>
      <c r="E91" s="3"/>
      <c r="F91" s="3"/>
      <c r="G91" s="3"/>
      <c r="H91" s="3"/>
    </row>
    <row r="92" spans="1:10" s="787" customFormat="1" ht="22.5" customHeight="1" x14ac:dyDescent="0.6">
      <c r="A92" s="6" t="s">
        <v>29</v>
      </c>
      <c r="B92" s="4" t="s">
        <v>0</v>
      </c>
      <c r="C92" s="5">
        <v>2015</v>
      </c>
      <c r="D92" s="5">
        <v>2016</v>
      </c>
      <c r="E92" s="5">
        <v>2017</v>
      </c>
      <c r="F92" s="5">
        <v>2018</v>
      </c>
      <c r="G92" s="5">
        <v>2019</v>
      </c>
      <c r="H92" s="5">
        <v>2020</v>
      </c>
    </row>
    <row r="93" spans="1:10" s="787" customFormat="1" ht="22.5" customHeight="1" x14ac:dyDescent="0.6">
      <c r="A93" s="14" t="s">
        <v>113</v>
      </c>
      <c r="B93" s="15" t="s">
        <v>13</v>
      </c>
      <c r="C93" s="792">
        <f t="shared" ref="C93:H93" si="16">C96*$J$95</f>
        <v>3648.400000000001</v>
      </c>
      <c r="D93" s="792">
        <f t="shared" si="16"/>
        <v>4781</v>
      </c>
      <c r="E93" s="792">
        <f t="shared" si="16"/>
        <v>5574.8</v>
      </c>
      <c r="F93" s="792">
        <f t="shared" si="16"/>
        <v>6774.6</v>
      </c>
      <c r="G93" s="792">
        <f t="shared" si="16"/>
        <v>7123.2000000000007</v>
      </c>
      <c r="H93" s="792">
        <f t="shared" si="16"/>
        <v>7470.4000000000005</v>
      </c>
    </row>
    <row r="94" spans="1:10" s="787" customFormat="1" ht="22.5" customHeight="1" x14ac:dyDescent="0.6">
      <c r="A94" s="13" t="s">
        <v>601</v>
      </c>
      <c r="B94" s="16"/>
      <c r="C94" s="34">
        <v>926</v>
      </c>
      <c r="D94" s="34">
        <v>922</v>
      </c>
      <c r="E94" s="34">
        <v>923</v>
      </c>
      <c r="F94" s="34">
        <v>1471</v>
      </c>
      <c r="G94" s="34">
        <v>846</v>
      </c>
      <c r="H94" s="24">
        <v>1174</v>
      </c>
    </row>
    <row r="95" spans="1:10" s="787" customFormat="1" ht="22.5" customHeight="1" x14ac:dyDescent="0.6">
      <c r="A95" s="13" t="s">
        <v>602</v>
      </c>
      <c r="B95" s="16"/>
      <c r="C95" s="34">
        <f>AVERAGE(113,356,614,597,C94)</f>
        <v>521.20000000000005</v>
      </c>
      <c r="D95" s="34">
        <f>AVERAGE(356,614,597,C94:D94)</f>
        <v>683</v>
      </c>
      <c r="E95" s="34">
        <f>AVERAGE(614,597,C94:E94)</f>
        <v>796.4</v>
      </c>
      <c r="F95" s="34">
        <f>AVERAGE(597,C94:F94)</f>
        <v>967.8</v>
      </c>
      <c r="G95" s="34">
        <f>AVERAGE(C94:G94)</f>
        <v>1017.6</v>
      </c>
      <c r="H95" s="24">
        <f>AVERAGE(D94:H94)</f>
        <v>1067.2</v>
      </c>
      <c r="J95" s="787">
        <v>7.0000000000000007E-2</v>
      </c>
    </row>
    <row r="96" spans="1:10" s="787" customFormat="1" ht="22.5" customHeight="1" x14ac:dyDescent="0.6">
      <c r="A96" s="20" t="s">
        <v>602</v>
      </c>
      <c r="B96" s="21" t="s">
        <v>603</v>
      </c>
      <c r="C96" s="18">
        <f t="shared" ref="C96:H96" si="17">C95*$J$96</f>
        <v>52120.000000000007</v>
      </c>
      <c r="D96" s="18">
        <f t="shared" si="17"/>
        <v>68300</v>
      </c>
      <c r="E96" s="18">
        <f t="shared" si="17"/>
        <v>79640</v>
      </c>
      <c r="F96" s="18">
        <f t="shared" si="17"/>
        <v>96780</v>
      </c>
      <c r="G96" s="18">
        <f t="shared" si="17"/>
        <v>101760</v>
      </c>
      <c r="H96" s="18">
        <f t="shared" si="17"/>
        <v>106720</v>
      </c>
      <c r="J96" s="787">
        <v>100</v>
      </c>
    </row>
    <row r="97" spans="1:19" s="787" customFormat="1" ht="22.5" customHeight="1" x14ac:dyDescent="0.6">
      <c r="A97" s="26" t="s">
        <v>607</v>
      </c>
      <c r="B97" s="21" t="s">
        <v>610</v>
      </c>
      <c r="C97" s="797"/>
      <c r="D97" s="797">
        <v>26.23</v>
      </c>
      <c r="E97" s="797">
        <v>16.920000000000002</v>
      </c>
      <c r="F97" s="797">
        <v>26.05</v>
      </c>
      <c r="G97" s="797">
        <v>15.24</v>
      </c>
      <c r="H97" s="791">
        <f>AVERAGE(D97:G97)</f>
        <v>21.11</v>
      </c>
    </row>
    <row r="98" spans="1:19" s="787" customFormat="1" ht="22.5" customHeight="1" x14ac:dyDescent="0.6">
      <c r="A98" s="26" t="s">
        <v>9</v>
      </c>
      <c r="B98" s="30" t="s">
        <v>610</v>
      </c>
      <c r="C98" s="798"/>
      <c r="D98" s="798">
        <v>0.03</v>
      </c>
      <c r="E98" s="798">
        <v>1.7000000000000001E-2</v>
      </c>
      <c r="F98" s="798">
        <v>2.5999999999999999E-2</v>
      </c>
      <c r="G98" s="798">
        <v>1.5339999999999999E-2</v>
      </c>
      <c r="H98" s="808">
        <f>AVERAGE(D98:G98)</f>
        <v>2.2085E-2</v>
      </c>
    </row>
    <row r="99" spans="1:19" s="787" customFormat="1" ht="22.5" customHeight="1" x14ac:dyDescent="0.6">
      <c r="A99" s="26" t="s">
        <v>609</v>
      </c>
      <c r="B99" s="30" t="s">
        <v>610</v>
      </c>
      <c r="C99" s="798"/>
      <c r="D99" s="798">
        <v>0.06</v>
      </c>
      <c r="E99" s="798">
        <v>0.04</v>
      </c>
      <c r="F99" s="798">
        <v>6.2E-2</v>
      </c>
      <c r="G99" s="798">
        <v>0.04</v>
      </c>
      <c r="H99" s="808">
        <f>AVERAGE(D99:G99)</f>
        <v>5.0500000000000003E-2</v>
      </c>
    </row>
    <row r="100" spans="1:19" s="787" customFormat="1" ht="22.5" customHeight="1" x14ac:dyDescent="0.6">
      <c r="A100" s="26" t="s">
        <v>608</v>
      </c>
      <c r="B100" s="30" t="s">
        <v>13</v>
      </c>
      <c r="C100" s="31">
        <f t="shared" ref="C100:H100" si="18">(C97+C98+C99)*C9*1000</f>
        <v>0</v>
      </c>
      <c r="D100" s="31">
        <f t="shared" si="18"/>
        <v>9659.5869833909219</v>
      </c>
      <c r="E100" s="31">
        <f t="shared" si="18"/>
        <v>6159.1042089676639</v>
      </c>
      <c r="F100" s="31">
        <f t="shared" si="18"/>
        <v>9409.2299268187689</v>
      </c>
      <c r="G100" s="31">
        <f t="shared" si="18"/>
        <v>5347.5244483607521</v>
      </c>
      <c r="H100" s="31">
        <f t="shared" si="18"/>
        <v>7580.1675713473605</v>
      </c>
    </row>
    <row r="101" spans="1:19" x14ac:dyDescent="0.6">
      <c r="A101" s="1"/>
      <c r="B101" s="2"/>
      <c r="C101" s="3"/>
      <c r="D101" s="3"/>
      <c r="E101" s="3"/>
      <c r="F101" s="3"/>
      <c r="G101" s="3"/>
      <c r="H101" s="3"/>
    </row>
    <row r="102" spans="1:19" x14ac:dyDescent="0.6">
      <c r="A102" s="6" t="s">
        <v>600</v>
      </c>
      <c r="B102" s="4" t="s">
        <v>0</v>
      </c>
      <c r="C102" s="5">
        <v>2015</v>
      </c>
      <c r="D102" s="5">
        <v>2016</v>
      </c>
      <c r="E102" s="5">
        <v>2017</v>
      </c>
      <c r="F102" s="5">
        <v>2018</v>
      </c>
      <c r="G102" s="5">
        <v>2019</v>
      </c>
      <c r="H102" s="5">
        <v>2020</v>
      </c>
      <c r="J102">
        <f>Mælaborð!C4</f>
        <v>2020</v>
      </c>
      <c r="M102" t="str">
        <f>Mælaborð!A60</f>
        <v xml:space="preserve">Samantekt - </v>
      </c>
      <c r="N102" t="str">
        <f>Mælaborð!B60</f>
        <v>BASIC</v>
      </c>
    </row>
    <row r="103" spans="1:19" s="787" customFormat="1" x14ac:dyDescent="0.6">
      <c r="A103" s="13" t="s">
        <v>67</v>
      </c>
      <c r="B103" s="16" t="s">
        <v>13</v>
      </c>
      <c r="C103" s="34"/>
      <c r="D103" s="36">
        <f>D22</f>
        <v>8750.48</v>
      </c>
      <c r="E103" s="36">
        <f>E22</f>
        <v>8791.74</v>
      </c>
      <c r="F103" s="36">
        <f>F22</f>
        <v>6597.9324422395039</v>
      </c>
      <c r="G103" s="36">
        <f>G22</f>
        <v>6596.781353191589</v>
      </c>
      <c r="H103" s="783">
        <f>H22</f>
        <v>6683.6113365935926</v>
      </c>
      <c r="J103" s="36">
        <f>INDEX($A$102:$H$130,MATCH(A103,$A$102:$A$130,0),MATCH(Mælaborð!$C$4,Reykjavík!$A$102:$H$102,0))</f>
        <v>6683.6113365935926</v>
      </c>
      <c r="M103">
        <v>2016</v>
      </c>
      <c r="N103">
        <v>2017</v>
      </c>
      <c r="O103">
        <v>2018</v>
      </c>
      <c r="P103">
        <v>2019</v>
      </c>
      <c r="Q103">
        <v>2020</v>
      </c>
      <c r="R103"/>
      <c r="S103"/>
    </row>
    <row r="104" spans="1:19" s="787" customFormat="1" x14ac:dyDescent="0.6">
      <c r="A104" s="13" t="s">
        <v>104</v>
      </c>
      <c r="B104" s="16" t="s">
        <v>13</v>
      </c>
      <c r="C104" s="34"/>
      <c r="D104" s="36">
        <f>D26</f>
        <v>15306.78</v>
      </c>
      <c r="E104" s="36">
        <f>E26</f>
        <v>14745.92</v>
      </c>
      <c r="F104" s="36">
        <f>F26</f>
        <v>15286.943999999998</v>
      </c>
      <c r="G104" s="36">
        <f>G26</f>
        <v>14874.796</v>
      </c>
      <c r="H104" s="783">
        <f>H26</f>
        <v>18668.286</v>
      </c>
      <c r="J104" s="36">
        <f>INDEX($A$102:$H$130,MATCH(A104,$A$102:$A$130,0),MATCH(Mælaborð!$C$4,Reykjavík!$A$102:$H$102,0))</f>
        <v>18668.286</v>
      </c>
      <c r="M104" s="36">
        <f>INDEX($A$102:$H$130,MATCH(Mælaborð!$B$60,$A$102:$A$130,0),MATCH(Reykjavík!D102,Reykjavík!$A$102:$H$102,0))</f>
        <v>441341.94261458382</v>
      </c>
      <c r="N104" s="36">
        <f>INDEX($A$102:$H$130,MATCH(Mælaborð!$B$60,$A$102:$A$130,0),MATCH(Reykjavík!E102,Reykjavík!$A$102:$H$102,0))</f>
        <v>469781.04198926548</v>
      </c>
      <c r="O104" s="36">
        <f>INDEX($A$102:$H$130,MATCH(Mælaborð!$B$60,$A$102:$A$130,0),MATCH(Reykjavík!F102,Reykjavík!$A$102:$H$102,0))</f>
        <v>485211.08940230665</v>
      </c>
      <c r="P104" s="36">
        <f>INDEX($A$102:$H$130,MATCH(Mælaborð!$B$60,$A$102:$A$130,0),MATCH(Reykjavík!G102,Reykjavík!$A$102:$H$102,0))</f>
        <v>493523.55139576521</v>
      </c>
      <c r="Q104" s="36">
        <f>INDEX($A$102:$H$130,MATCH(Mælaborð!$B$60,$A$102:$A$130,0),MATCH(Reykjavík!H102,Reykjavík!$A$102:$H$102,0))</f>
        <v>434079.08773527306</v>
      </c>
      <c r="R104" s="25"/>
      <c r="S104"/>
    </row>
    <row r="105" spans="1:19" x14ac:dyDescent="0.6">
      <c r="A105" s="13" t="s">
        <v>6</v>
      </c>
      <c r="B105" s="16" t="s">
        <v>13</v>
      </c>
      <c r="C105" s="34"/>
      <c r="D105" s="36">
        <f>D103+D104</f>
        <v>24057.260000000002</v>
      </c>
      <c r="E105" s="36">
        <f>E103+E104</f>
        <v>23537.66</v>
      </c>
      <c r="F105" s="36">
        <f>F103+F104</f>
        <v>21884.876442239503</v>
      </c>
      <c r="G105" s="36">
        <f>G103+G104</f>
        <v>21471.577353191591</v>
      </c>
      <c r="H105" s="783">
        <f>H103+H104</f>
        <v>25351.897336593593</v>
      </c>
      <c r="J105" s="36">
        <f>INDEX($A$102:$H$130,MATCH(A105,$A$102:$A$130,0),MATCH(Mælaborð!$C$4,Reykjavík!$A$102:$H$102,0))</f>
        <v>25351.897336593593</v>
      </c>
      <c r="M105" s="785">
        <f>INDEX($A$132:$H$160,MATCH(Mælaborð!$B$60,$A$132:$A$160,0),MATCH(Reykjavík!D132,Reykjavík!$A$102:$H$102,0))</f>
        <v>3.6163712111978352</v>
      </c>
      <c r="N105" s="785">
        <f>INDEX($A$132:$H$160,MATCH(Mælaborð!$B$60,$A$132:$A$160,0),MATCH(Reykjavík!E132,Reykjavík!$A$102:$H$102,0))</f>
        <v>3.8271367982832216</v>
      </c>
      <c r="O105" s="785">
        <f>INDEX($A$132:$H$160,MATCH(Mælaborð!$B$60,$A$132:$A$160,0),MATCH(Reykjavík!F132,Reykjavík!$A$102:$H$102,0))</f>
        <v>3.8681964460147538</v>
      </c>
      <c r="P105" s="785">
        <f>INDEX($A$132:$H$160,MATCH(Mælaborð!$B$60,$A$132:$A$160,0),MATCH(Reykjavík!G132,Reykjavík!$A$102:$H$102,0))</f>
        <v>3.856948438895607</v>
      </c>
      <c r="Q105" s="785">
        <f>INDEX($A$132:$H$160,MATCH(Mælaborð!$B$60,$A$132:$A$160,0),MATCH(Reykjavík!H132,Reykjavík!$A$102:$H$102,0))</f>
        <v>3.3312542706363768</v>
      </c>
      <c r="R105" s="25"/>
      <c r="S105" s="787"/>
    </row>
    <row r="106" spans="1:19" s="788" customFormat="1" x14ac:dyDescent="0.6">
      <c r="A106" s="13" t="s">
        <v>105</v>
      </c>
      <c r="B106" s="16" t="s">
        <v>13</v>
      </c>
      <c r="C106" s="34"/>
      <c r="D106" s="36">
        <f>D107+D108+D109</f>
        <v>311175.28168884345</v>
      </c>
      <c r="E106" s="36">
        <f>E107+E108+E109</f>
        <v>336077.79629056074</v>
      </c>
      <c r="F106" s="36">
        <f>F107+F108+F109</f>
        <v>345502.25418353896</v>
      </c>
      <c r="G106" s="36">
        <f>G107+G108+G109</f>
        <v>351387.74283085542</v>
      </c>
      <c r="H106" s="36">
        <f>H107+H108+H109</f>
        <v>314219.62422918761</v>
      </c>
      <c r="J106" s="36">
        <f>INDEX($A$102:$H$130,MATCH(A106,$A$102:$A$130,0),MATCH(Mælaborð!$C$4,Reykjavík!$A$102:$H$102,0))</f>
        <v>314219.62422918761</v>
      </c>
      <c r="M106" s="785"/>
      <c r="N106" s="785"/>
      <c r="O106" s="785"/>
      <c r="P106" s="785"/>
      <c r="Q106" s="785"/>
      <c r="R106" s="25"/>
    </row>
    <row r="107" spans="1:19" s="708" customFormat="1" x14ac:dyDescent="0.6">
      <c r="A107" s="13" t="s">
        <v>169</v>
      </c>
      <c r="B107" s="16" t="s">
        <v>13</v>
      </c>
      <c r="C107" s="34"/>
      <c r="D107" s="36">
        <f t="shared" ref="D107:H109" si="19">D31</f>
        <v>215949.80562994696</v>
      </c>
      <c r="E107" s="36">
        <f t="shared" si="19"/>
        <v>233231.68341519832</v>
      </c>
      <c r="F107" s="36">
        <f t="shared" si="19"/>
        <v>239772.08032304575</v>
      </c>
      <c r="G107" s="36">
        <f t="shared" si="19"/>
        <v>242474.11516524735</v>
      </c>
      <c r="H107" s="783">
        <f t="shared" si="19"/>
        <v>218748.33750437558</v>
      </c>
      <c r="J107" s="36">
        <f>INDEX($A$102:$H$130,MATCH(A107,$A$102:$A$130,0),MATCH(Mælaborð!$C$4,Reykjavík!$A$102:$H$102,0))</f>
        <v>218748.33750437558</v>
      </c>
      <c r="M107" s="36"/>
      <c r="N107" s="36"/>
      <c r="O107" s="36"/>
      <c r="P107" s="36"/>
      <c r="Q107" s="36"/>
      <c r="R107" s="25"/>
      <c r="S107" s="787"/>
    </row>
    <row r="108" spans="1:19" s="708" customFormat="1" x14ac:dyDescent="0.6">
      <c r="A108" s="13" t="s">
        <v>203</v>
      </c>
      <c r="B108" s="16" t="s">
        <v>13</v>
      </c>
      <c r="C108" s="34"/>
      <c r="D108" s="36">
        <f t="shared" si="19"/>
        <v>16107.539181567041</v>
      </c>
      <c r="E108" s="36">
        <f t="shared" si="19"/>
        <v>17396.581895659609</v>
      </c>
      <c r="F108" s="36">
        <f t="shared" si="19"/>
        <v>17884.42535145174</v>
      </c>
      <c r="G108" s="36">
        <f t="shared" si="19"/>
        <v>18194.119507371812</v>
      </c>
      <c r="H108" s="783">
        <f t="shared" si="19"/>
        <v>14249.07499839491</v>
      </c>
      <c r="I108" s="36">
        <f>H107+H108+H109</f>
        <v>314219.62422918761</v>
      </c>
      <c r="J108" s="36">
        <f>INDEX($A$102:$H$130,MATCH(A108,$A$102:$A$130,0),MATCH(Mælaborð!$C$4,Reykjavík!$A$102:$H$102,0))</f>
        <v>14249.07499839491</v>
      </c>
      <c r="M108" s="787" t="str">
        <f>Mælaborð!$A$84</f>
        <v xml:space="preserve">Samantekt - </v>
      </c>
      <c r="N108" s="787" t="str">
        <f>Mælaborð!$B$84</f>
        <v>BASIC+</v>
      </c>
      <c r="O108" s="787"/>
      <c r="P108" s="787"/>
      <c r="Q108" s="787"/>
      <c r="R108" s="25"/>
      <c r="S108" s="787"/>
    </row>
    <row r="109" spans="1:19" s="708" customFormat="1" x14ac:dyDescent="0.6">
      <c r="A109" s="13" t="s">
        <v>480</v>
      </c>
      <c r="B109" s="16" t="s">
        <v>13</v>
      </c>
      <c r="C109" s="34"/>
      <c r="D109" s="36">
        <f t="shared" si="19"/>
        <v>79117.936877329455</v>
      </c>
      <c r="E109" s="36">
        <f t="shared" si="19"/>
        <v>85449.530979702788</v>
      </c>
      <c r="F109" s="36">
        <f t="shared" si="19"/>
        <v>87845.748509041441</v>
      </c>
      <c r="G109" s="36">
        <f t="shared" si="19"/>
        <v>90719.508158236305</v>
      </c>
      <c r="H109" s="783">
        <f t="shared" si="19"/>
        <v>81222.211726417096</v>
      </c>
      <c r="J109" s="36">
        <f>INDEX($A$102:$H$130,MATCH(A109,$A$102:$A$130,0),MATCH(Mælaborð!$C$4,Reykjavík!$A$102:$H$102,0))</f>
        <v>81222.211726417096</v>
      </c>
      <c r="M109" s="787">
        <v>2016</v>
      </c>
      <c r="N109" s="787">
        <v>2017</v>
      </c>
      <c r="O109" s="787">
        <v>2018</v>
      </c>
      <c r="P109" s="787">
        <v>2019</v>
      </c>
      <c r="Q109" s="787">
        <v>2020</v>
      </c>
      <c r="S109" s="787"/>
    </row>
    <row r="110" spans="1:19" s="708" customFormat="1" x14ac:dyDescent="0.6">
      <c r="A110" s="13" t="s">
        <v>106</v>
      </c>
      <c r="B110" s="16" t="s">
        <v>13</v>
      </c>
      <c r="C110" s="34"/>
      <c r="D110" s="36">
        <f>D35</f>
        <v>40017.414575000003</v>
      </c>
      <c r="E110" s="36">
        <f>E35</f>
        <v>35952.374654999992</v>
      </c>
      <c r="F110" s="36">
        <f>F35</f>
        <v>41527.022368999998</v>
      </c>
      <c r="G110" s="36">
        <f>G35</f>
        <v>51073.751804799998</v>
      </c>
      <c r="H110" s="783">
        <f>H35</f>
        <v>37572.295806000002</v>
      </c>
      <c r="J110" s="36">
        <f>INDEX($A$102:$H$130,MATCH(A110,$A$102:$A$130,0),MATCH(Mælaborð!$C$4,Reykjavík!$A$102:$H$102,0))</f>
        <v>37572.295806000002</v>
      </c>
      <c r="M110" s="36">
        <f>INDEX($A$102:$H$130,MATCH(Mælaborð!$B$84,$A$102:$A$130,0),MATCH(Reykjavík!D102,Reykjavík!$A$102:$H$102,0))</f>
        <v>531769.55161187658</v>
      </c>
      <c r="N110" s="36">
        <f>INDEX($A$102:$H$130,MATCH(Mælaborð!$B$84,$A$102:$A$130,0),MATCH(Reykjavík!E102,Reykjavík!$A$102:$H$102,0))</f>
        <v>547189.39567905222</v>
      </c>
      <c r="O110" s="36">
        <f>INDEX($A$102:$H$130,MATCH(Mælaborð!$B$84,$A$102:$A$130,0),MATCH(Reykjavík!F102,Reykjavík!$A$102:$H$102,0))</f>
        <v>569836.79643159604</v>
      </c>
      <c r="P110" s="36">
        <f>INDEX($A$102:$H$130,MATCH(Mælaborð!$B$84,$A$102:$A$130,0),MATCH(Reykjavík!G102,Reykjavík!$A$102:$H$102,0))</f>
        <v>581931.92008415901</v>
      </c>
      <c r="Q110" s="36">
        <f>INDEX($A$102:$H$130,MATCH(Mælaborð!$B$84,$A$102:$A$130,0),MATCH(Reykjavík!H102,Reykjavík!$A$102:$H$102,0))</f>
        <v>519540.32962191396</v>
      </c>
      <c r="S110"/>
    </row>
    <row r="111" spans="1:19" s="708" customFormat="1" x14ac:dyDescent="0.6">
      <c r="A111" s="13" t="s">
        <v>107</v>
      </c>
      <c r="B111" s="16" t="s">
        <v>13</v>
      </c>
      <c r="C111" s="34"/>
      <c r="D111" s="36">
        <f>D37</f>
        <v>5400.7160188601574</v>
      </c>
      <c r="E111" s="36">
        <f>E37</f>
        <v>4792.3453956006551</v>
      </c>
      <c r="F111" s="36">
        <f>F37</f>
        <v>7325.3866733465939</v>
      </c>
      <c r="G111" s="36">
        <f>G37</f>
        <v>6937.1982702861123</v>
      </c>
      <c r="H111" s="783">
        <f>H37</f>
        <v>4542.5582514083553</v>
      </c>
      <c r="J111" s="36">
        <f>INDEX($A$102:$H$130,MATCH(A111,$A$102:$A$130,0),MATCH(Mælaborð!$C$4,Reykjavík!$A$102:$H$102,0))</f>
        <v>4542.5582514083553</v>
      </c>
      <c r="M111" s="785">
        <f>INDEX($A$132:$H$160,MATCH(Mælaborð!$B$84,$A$132:$A$160,0),MATCH(Reykjavík!D132,Reykjavík!$A$102:$H$102,0))</f>
        <v>4.3573381810216043</v>
      </c>
      <c r="N111" s="785">
        <f>INDEX($A$132:$H$160,MATCH(Mælaborð!$B$84,$A$132:$A$160,0),MATCH(Reykjavík!E132,Reykjavík!$A$102:$H$102,0))</f>
        <v>4.4577547509495092</v>
      </c>
      <c r="O111" s="785">
        <f>INDEX($A$132:$H$160,MATCH(Mælaborð!$B$84,$A$132:$A$160,0),MATCH(Reykjavík!F132,Reykjavík!$A$102:$H$102,0))</f>
        <v>4.5428489144392046</v>
      </c>
      <c r="P111" s="785">
        <f>INDEX($A$132:$H$160,MATCH(Mælaborð!$B$84,$A$132:$A$160,0),MATCH(Reykjavík!G132,Reykjavík!$A$102:$H$102,0))</f>
        <v>4.5478709260467109</v>
      </c>
      <c r="Q111" s="785">
        <f>INDEX($A$132:$H$160,MATCH(Mælaborð!$B$84,$A$132:$A$160,0),MATCH(Reykjavík!H132,Reykjavík!$A$102:$H$102,0))</f>
        <v>3.9871097012540884</v>
      </c>
      <c r="S111"/>
    </row>
    <row r="112" spans="1:19" s="787" customFormat="1" x14ac:dyDescent="0.6">
      <c r="A112" s="13" t="s">
        <v>78</v>
      </c>
      <c r="B112" s="16" t="s">
        <v>13</v>
      </c>
      <c r="C112" s="34"/>
      <c r="D112" s="36">
        <f>SUM(D107:D111)</f>
        <v>356593.41228270362</v>
      </c>
      <c r="E112" s="36">
        <f>SUM(E107:E111)</f>
        <v>376822.51634116139</v>
      </c>
      <c r="F112" s="36">
        <f>SUM(F107:F111)</f>
        <v>394354.66322588554</v>
      </c>
      <c r="G112" s="36">
        <f>SUM(G107:G111)</f>
        <v>409398.69290594151</v>
      </c>
      <c r="H112" s="783">
        <f>SUM(H107:H111)</f>
        <v>356334.47828659596</v>
      </c>
      <c r="J112" s="36">
        <f>INDEX($A$102:$H$130,MATCH(A112,$A$102:$A$130,0),MATCH(Mælaborð!$C$4,Reykjavík!$A$102:$H$102,0))</f>
        <v>356334.47828659596</v>
      </c>
      <c r="M112" s="708"/>
      <c r="N112" s="708"/>
      <c r="O112" s="708"/>
      <c r="P112" s="708"/>
      <c r="Q112" s="708"/>
      <c r="R112" s="708"/>
      <c r="S112"/>
    </row>
    <row r="113" spans="1:19" s="787" customFormat="1" x14ac:dyDescent="0.6">
      <c r="A113" s="13" t="s">
        <v>108</v>
      </c>
      <c r="B113" s="16" t="s">
        <v>13</v>
      </c>
      <c r="C113" s="34">
        <f t="shared" ref="C113:H113" si="20">C42</f>
        <v>44705.627644387372</v>
      </c>
      <c r="D113" s="36">
        <f t="shared" si="20"/>
        <v>49903.355719549974</v>
      </c>
      <c r="E113" s="36">
        <f t="shared" si="20"/>
        <v>58628.473352856316</v>
      </c>
      <c r="F113" s="36">
        <f t="shared" si="20"/>
        <v>58127.731291325508</v>
      </c>
      <c r="G113" s="36">
        <f t="shared" si="20"/>
        <v>52254.24500405819</v>
      </c>
      <c r="H113" s="783">
        <f t="shared" si="20"/>
        <v>41721.488780211374</v>
      </c>
      <c r="J113" s="36">
        <f>INDEX($A$102:$H$130,MATCH(A113,$A$102:$A$130,0),MATCH(Mælaborð!$C$4,Reykjavík!$A$102:$H$102,0))</f>
        <v>41721.488780211374</v>
      </c>
      <c r="M113" s="708"/>
      <c r="N113" s="708"/>
      <c r="O113" s="708"/>
      <c r="P113" s="708"/>
      <c r="Q113" s="708"/>
      <c r="R113" s="708"/>
    </row>
    <row r="114" spans="1:19" s="787" customFormat="1" x14ac:dyDescent="0.6">
      <c r="A114" s="13" t="s">
        <v>55</v>
      </c>
      <c r="B114" s="16" t="s">
        <v>13</v>
      </c>
      <c r="C114" s="34">
        <f t="shared" ref="C114:H114" si="21">C44</f>
        <v>0</v>
      </c>
      <c r="D114" s="36">
        <f t="shared" si="21"/>
        <v>0</v>
      </c>
      <c r="E114" s="36">
        <f t="shared" si="21"/>
        <v>0</v>
      </c>
      <c r="F114" s="36">
        <f t="shared" si="21"/>
        <v>0</v>
      </c>
      <c r="G114" s="36">
        <f t="shared" si="21"/>
        <v>0</v>
      </c>
      <c r="H114" s="783">
        <f t="shared" si="21"/>
        <v>201.97124024820411</v>
      </c>
      <c r="J114" s="36">
        <f>INDEX($A$102:$H$130,MATCH(A114,$A$102:$A$130,0),MATCH(Mælaborð!$C$4,Reykjavík!$A$102:$H$102,0))</f>
        <v>201.97124024820411</v>
      </c>
      <c r="M114" s="25" t="s">
        <v>612</v>
      </c>
      <c r="N114" s="25" t="s">
        <v>613</v>
      </c>
      <c r="O114" s="25" t="s">
        <v>614</v>
      </c>
      <c r="P114" s="25" t="s">
        <v>615</v>
      </c>
      <c r="Q114" s="25" t="s">
        <v>611</v>
      </c>
      <c r="R114" s="25" t="s">
        <v>616</v>
      </c>
      <c r="S114"/>
    </row>
    <row r="115" spans="1:19" s="787" customFormat="1" x14ac:dyDescent="0.6">
      <c r="A115" s="13" t="s">
        <v>109</v>
      </c>
      <c r="B115" s="16" t="s">
        <v>13</v>
      </c>
      <c r="C115" s="34">
        <f>C46</f>
        <v>0</v>
      </c>
      <c r="D115" s="36">
        <f>D47</f>
        <v>2834.6686298122581</v>
      </c>
      <c r="E115" s="36">
        <f>E47</f>
        <v>2982.4223577013613</v>
      </c>
      <c r="F115" s="36">
        <f>F47</f>
        <v>2994.9143387192307</v>
      </c>
      <c r="G115" s="36">
        <f>G47</f>
        <v>2765.516533663309</v>
      </c>
      <c r="H115" s="783">
        <f>H47</f>
        <v>2906.9995036369351</v>
      </c>
      <c r="J115" s="36">
        <f>INDEX($A$102:$H$130,MATCH(A115,$A$102:$A$130,0),MATCH(Mælaborð!$C$4,Reykjavík!$A$102:$H$102,0))</f>
        <v>2906.9995036369351</v>
      </c>
      <c r="M115" s="787" t="s">
        <v>6</v>
      </c>
      <c r="N115" s="787" t="s">
        <v>105</v>
      </c>
      <c r="O115" s="787" t="s">
        <v>32</v>
      </c>
      <c r="P115" s="787" t="s">
        <v>496</v>
      </c>
      <c r="Q115" s="787" t="s">
        <v>548</v>
      </c>
      <c r="R115" s="787" t="s">
        <v>549</v>
      </c>
      <c r="S115"/>
    </row>
    <row r="116" spans="1:19" s="787" customFormat="1" x14ac:dyDescent="0.6">
      <c r="A116" s="13" t="s">
        <v>57</v>
      </c>
      <c r="B116" s="16" t="s">
        <v>13</v>
      </c>
      <c r="C116" s="34">
        <f t="shared" ref="C116:H116" si="22">C51</f>
        <v>8059.2162663207127</v>
      </c>
      <c r="D116" s="36">
        <f t="shared" si="22"/>
        <v>7953.2459825179458</v>
      </c>
      <c r="E116" s="36">
        <f t="shared" si="22"/>
        <v>7809.9699375464279</v>
      </c>
      <c r="F116" s="36">
        <f t="shared" si="22"/>
        <v>8090.8319408763791</v>
      </c>
      <c r="G116" s="36">
        <f t="shared" si="22"/>
        <v>7857.5504561022299</v>
      </c>
      <c r="H116" s="783">
        <f t="shared" si="22"/>
        <v>7855.6799639805449</v>
      </c>
      <c r="J116" s="36">
        <f>INDEX($A$102:$H$130,MATCH(A116,$A$102:$A$130,0),MATCH(Mælaborð!$C$4,Reykjavík!$A$102:$H$102,0))</f>
        <v>7855.6799639805449</v>
      </c>
      <c r="M116" s="787" t="s">
        <v>67</v>
      </c>
      <c r="N116" s="787" t="s">
        <v>169</v>
      </c>
      <c r="O116" s="787" t="s">
        <v>108</v>
      </c>
      <c r="P116" s="787" t="s">
        <v>547</v>
      </c>
      <c r="Q116" s="787" t="s">
        <v>48</v>
      </c>
      <c r="R116" s="787" t="s">
        <v>550</v>
      </c>
      <c r="S116"/>
    </row>
    <row r="117" spans="1:19" s="708" customFormat="1" x14ac:dyDescent="0.6">
      <c r="A117" s="13" t="s">
        <v>32</v>
      </c>
      <c r="B117" s="16" t="s">
        <v>13</v>
      </c>
      <c r="C117" s="34"/>
      <c r="D117" s="36">
        <f>D52</f>
        <v>60691.27033188018</v>
      </c>
      <c r="E117" s="36">
        <f>E52</f>
        <v>69420.865648104111</v>
      </c>
      <c r="F117" s="36">
        <f>F52</f>
        <v>69213.477570921124</v>
      </c>
      <c r="G117" s="36">
        <f>G52</f>
        <v>62877.311993823729</v>
      </c>
      <c r="H117" s="783">
        <f>H52</f>
        <v>52686.139488077053</v>
      </c>
      <c r="J117" s="36">
        <f>INDEX($A$102:$H$130,MATCH(A117,$A$102:$A$130,0),MATCH(Mælaborð!$C$4,Reykjavík!$A$102:$H$102,0))</f>
        <v>52686.139488077053</v>
      </c>
      <c r="M117" s="787" t="s">
        <v>104</v>
      </c>
      <c r="N117" s="787" t="s">
        <v>203</v>
      </c>
      <c r="O117" s="787" t="s">
        <v>55</v>
      </c>
      <c r="P117" s="787" t="s">
        <v>111</v>
      </c>
      <c r="Q117" s="787" t="s">
        <v>113</v>
      </c>
      <c r="R117" s="787" t="s">
        <v>551</v>
      </c>
      <c r="S117"/>
    </row>
    <row r="118" spans="1:19" s="708" customFormat="1" x14ac:dyDescent="0.6">
      <c r="A118" s="13" t="s">
        <v>547</v>
      </c>
      <c r="B118" s="16" t="s">
        <v>13</v>
      </c>
      <c r="C118" s="34"/>
      <c r="D118" s="36">
        <f>D58</f>
        <v>1829.6519397420795</v>
      </c>
      <c r="E118" s="36">
        <f>E58</f>
        <v>2245.4398830453683</v>
      </c>
      <c r="F118" s="36">
        <f>F58</f>
        <v>1691.624489923749</v>
      </c>
      <c r="G118" s="36">
        <f>G58</f>
        <v>1710.0061987558634</v>
      </c>
      <c r="H118" s="783">
        <f>H58</f>
        <v>2652.4245259230693</v>
      </c>
      <c r="J118" s="36">
        <f>INDEX($A$102:$H$130,MATCH(A118,$A$102:$A$130,0),MATCH(Mælaborð!$C$4,Reykjavík!$A$102:$H$102,0))</f>
        <v>2652.4245259230693</v>
      </c>
      <c r="M118" s="787"/>
      <c r="N118" s="787" t="s">
        <v>480</v>
      </c>
      <c r="O118" s="787" t="s">
        <v>109</v>
      </c>
      <c r="P118" s="787"/>
      <c r="Q118" s="787" t="s">
        <v>580</v>
      </c>
      <c r="R118" s="787" t="s">
        <v>3</v>
      </c>
      <c r="S118"/>
    </row>
    <row r="119" spans="1:19" s="708" customFormat="1" x14ac:dyDescent="0.6">
      <c r="A119" s="13" t="s">
        <v>111</v>
      </c>
      <c r="B119" s="16" t="s">
        <v>13</v>
      </c>
      <c r="C119" s="34"/>
      <c r="D119" s="36">
        <f>D55</f>
        <v>45422</v>
      </c>
      <c r="E119" s="36">
        <f>E55</f>
        <v>45422</v>
      </c>
      <c r="F119" s="36">
        <f>F55</f>
        <v>45422</v>
      </c>
      <c r="G119" s="36">
        <f>G55</f>
        <v>45422</v>
      </c>
      <c r="H119" s="783">
        <f>H55</f>
        <v>45422</v>
      </c>
      <c r="J119" s="36">
        <f>INDEX($A$102:$H$130,MATCH(A119,$A$102:$A$130,0),MATCH(Mælaborð!$C$4,Reykjavík!$A$102:$H$102,0))</f>
        <v>45422</v>
      </c>
      <c r="M119"/>
      <c r="N119" s="787" t="s">
        <v>106</v>
      </c>
      <c r="O119" s="787" t="s">
        <v>57</v>
      </c>
      <c r="P119" s="787"/>
      <c r="Q119"/>
      <c r="R119" t="s">
        <v>14</v>
      </c>
      <c r="S119"/>
    </row>
    <row r="120" spans="1:19" s="787" customFormat="1" x14ac:dyDescent="0.6">
      <c r="A120" s="13" t="s">
        <v>496</v>
      </c>
      <c r="B120" s="16" t="s">
        <v>13</v>
      </c>
      <c r="C120" s="34"/>
      <c r="D120" s="36">
        <f>D118+D119</f>
        <v>47251.651939742078</v>
      </c>
      <c r="E120" s="36">
        <f>E118+E119</f>
        <v>47667.439883045372</v>
      </c>
      <c r="F120" s="36">
        <f>F118+F119</f>
        <v>47113.62448992375</v>
      </c>
      <c r="G120" s="36">
        <f>G118+G119</f>
        <v>47132.006198755866</v>
      </c>
      <c r="H120" s="783">
        <f>H118+H119</f>
        <v>48074.424525923067</v>
      </c>
      <c r="J120" s="36">
        <f>INDEX($A$102:$H$130,MATCH(A120,$A$102:$A$130,0),MATCH(Mælaborð!$C$4,Reykjavík!$A$102:$H$102,0))</f>
        <v>48074.424525923067</v>
      </c>
      <c r="M120"/>
      <c r="N120" s="787" t="s">
        <v>107</v>
      </c>
      <c r="Q120"/>
      <c r="R120" t="s">
        <v>5</v>
      </c>
      <c r="S120"/>
    </row>
    <row r="121" spans="1:19" s="708" customFormat="1" x14ac:dyDescent="0.6">
      <c r="A121" s="13" t="s">
        <v>48</v>
      </c>
      <c r="B121" s="16" t="s">
        <v>13</v>
      </c>
      <c r="C121" s="36">
        <f t="shared" ref="C121:H121" si="23">C90</f>
        <v>38772.753880475437</v>
      </c>
      <c r="D121" s="36">
        <f t="shared" si="23"/>
        <v>43175.957057550637</v>
      </c>
      <c r="E121" s="36">
        <f t="shared" si="23"/>
        <v>29740.913806741341</v>
      </c>
      <c r="F121" s="36">
        <f t="shared" si="23"/>
        <v>37270.15470262614</v>
      </c>
      <c r="G121" s="36">
        <f t="shared" si="23"/>
        <v>41052.331632446345</v>
      </c>
      <c r="H121" s="783">
        <f t="shared" si="23"/>
        <v>37093.38998472425</v>
      </c>
      <c r="J121" s="36">
        <f>INDEX($A$102:$H$130,MATCH(A121,$A$102:$A$130,0),MATCH(Mælaborð!$C$4,Reykjavík!$A$102:$H$102,0))</f>
        <v>37093.38998472425</v>
      </c>
      <c r="S121"/>
    </row>
    <row r="122" spans="1:19" s="787" customFormat="1" x14ac:dyDescent="0.6">
      <c r="A122" s="13" t="s">
        <v>113</v>
      </c>
      <c r="B122" s="16" t="s">
        <v>13</v>
      </c>
      <c r="C122" s="36">
        <f t="shared" ref="C122:H122" si="24">C93</f>
        <v>3648.400000000001</v>
      </c>
      <c r="D122" s="36">
        <f t="shared" si="24"/>
        <v>4781</v>
      </c>
      <c r="E122" s="36">
        <f t="shared" si="24"/>
        <v>5574.8</v>
      </c>
      <c r="F122" s="36">
        <f t="shared" si="24"/>
        <v>6774.6</v>
      </c>
      <c r="G122" s="36">
        <f t="shared" si="24"/>
        <v>7123.2000000000007</v>
      </c>
      <c r="H122" s="783">
        <f t="shared" si="24"/>
        <v>7470.4000000000005</v>
      </c>
      <c r="J122" s="36">
        <f>INDEX($A$102:$H$130,MATCH(A122,$A$102:$A$130,0),MATCH(Mælaborð!$C$4,Reykjavík!$A$102:$H$102,0))</f>
        <v>7470.4000000000005</v>
      </c>
      <c r="S122"/>
    </row>
    <row r="123" spans="1:19" s="708" customFormat="1" x14ac:dyDescent="0.6">
      <c r="A123" s="13" t="s">
        <v>580</v>
      </c>
      <c r="B123" s="16" t="s">
        <v>13</v>
      </c>
      <c r="C123" s="34"/>
      <c r="D123" s="36">
        <f>D100</f>
        <v>9659.5869833909219</v>
      </c>
      <c r="E123" s="36">
        <f>E100</f>
        <v>6159.1042089676639</v>
      </c>
      <c r="F123" s="36">
        <f>F100</f>
        <v>9409.2299268187689</v>
      </c>
      <c r="G123" s="36">
        <f>G100</f>
        <v>5347.5244483607521</v>
      </c>
      <c r="H123" s="783">
        <f>H100</f>
        <v>7580.1675713473605</v>
      </c>
      <c r="J123" s="36">
        <f>INDEX($A$102:$H$130,MATCH(A123,$A$102:$A$130,0),MATCH(Mælaborð!$C$4,Reykjavík!$A$102:$H$102,0))</f>
        <v>7580.1675713473605</v>
      </c>
      <c r="N123" s="708">
        <v>21623</v>
      </c>
      <c r="S123"/>
    </row>
    <row r="124" spans="1:19" s="787" customFormat="1" x14ac:dyDescent="0.6">
      <c r="A124" s="13" t="s">
        <v>548</v>
      </c>
      <c r="B124" s="16" t="s">
        <v>13</v>
      </c>
      <c r="C124" s="34"/>
      <c r="D124" s="36">
        <f>SUM(D121:D123)</f>
        <v>57616.544040941561</v>
      </c>
      <c r="E124" s="36">
        <f>SUM(E121:E123)</f>
        <v>41474.818015709003</v>
      </c>
      <c r="F124" s="36">
        <f>SUM(F121:F123)</f>
        <v>53453.984629444909</v>
      </c>
      <c r="G124" s="36">
        <f>SUM(G121:G123)</f>
        <v>53523.056080807102</v>
      </c>
      <c r="H124" s="783">
        <f>SUM(H121:H123)</f>
        <v>52143.957556071611</v>
      </c>
      <c r="J124" s="36">
        <f>INDEX($A$102:$H$130,MATCH(A124,$A$102:$A$130,0),MATCH(Mælaborð!$C$4,Reykjavík!$A$102:$H$102,0))</f>
        <v>52143.957556071611</v>
      </c>
      <c r="N124" s="708">
        <v>204061</v>
      </c>
      <c r="O124" s="708"/>
      <c r="S124"/>
    </row>
    <row r="125" spans="1:19" s="708" customFormat="1" x14ac:dyDescent="0.6">
      <c r="A125" s="13" t="s">
        <v>549</v>
      </c>
      <c r="B125" s="16" t="s">
        <v>13</v>
      </c>
      <c r="C125" s="34"/>
      <c r="D125" s="36">
        <f>D105+D112+D117-D23</f>
        <v>441341.94261458382</v>
      </c>
      <c r="E125" s="36">
        <f>E105+E112+E117-E23</f>
        <v>469781.04198926548</v>
      </c>
      <c r="F125" s="36">
        <f>F105+F112+F117-F23</f>
        <v>485211.08940230665</v>
      </c>
      <c r="G125" s="36">
        <f>G105+G112+G117-G23</f>
        <v>493523.55139576521</v>
      </c>
      <c r="H125" s="783">
        <f>H105+H112+H117-H23</f>
        <v>434079.08773527306</v>
      </c>
      <c r="J125" s="36">
        <f>INDEX($A$102:$H$130,MATCH(A125,$A$102:$A$130,0),MATCH(Mælaborð!$C$4,Reykjavík!$A$102:$H$102,0))</f>
        <v>434079.08773527306</v>
      </c>
      <c r="N125" s="708">
        <v>14079</v>
      </c>
      <c r="S125"/>
    </row>
    <row r="126" spans="1:19" s="708" customFormat="1" x14ac:dyDescent="0.6">
      <c r="A126" s="13" t="s">
        <v>550</v>
      </c>
      <c r="B126" s="16" t="s">
        <v>13</v>
      </c>
      <c r="C126" s="34"/>
      <c r="D126" s="36">
        <f>D125+D120+D121+D23</f>
        <v>531769.55161187658</v>
      </c>
      <c r="E126" s="36">
        <f>E125+E120+E121+E23</f>
        <v>547189.39567905222</v>
      </c>
      <c r="F126" s="36">
        <f>F125+F120+F121+F23</f>
        <v>569836.79643159604</v>
      </c>
      <c r="G126" s="36">
        <f>G125+G120+G121+G23</f>
        <v>581931.92008415901</v>
      </c>
      <c r="H126" s="783">
        <f>H125+H120+H121+H23</f>
        <v>519540.32962191396</v>
      </c>
      <c r="J126" s="36">
        <f>INDEX($A$102:$H$130,MATCH(A126,$A$102:$A$130,0),MATCH(Mælaborð!$C$4,Reykjavík!$A$102:$H$102,0))</f>
        <v>519540.32962191396</v>
      </c>
      <c r="N126" s="708">
        <v>62119</v>
      </c>
      <c r="S126"/>
    </row>
    <row r="127" spans="1:19" x14ac:dyDescent="0.6">
      <c r="A127" s="13" t="s">
        <v>551</v>
      </c>
      <c r="B127" s="16" t="s">
        <v>13</v>
      </c>
      <c r="C127" s="17"/>
      <c r="D127" s="36">
        <f>D126+D23+D122+D123</f>
        <v>546210.13859526755</v>
      </c>
      <c r="E127" s="36">
        <f>E126+E23+E122+E123</f>
        <v>558923.29988801992</v>
      </c>
      <c r="F127" s="36">
        <f>F126+F23+F122+F123</f>
        <v>586262.55419515423</v>
      </c>
      <c r="G127" s="36">
        <f>G126+G23+G122+G123</f>
        <v>594626.67538971128</v>
      </c>
      <c r="H127" s="783">
        <f>H126+H23+H122+H123</f>
        <v>534884.32456925488</v>
      </c>
      <c r="J127" s="36">
        <f>INDEX($A$102:$H$130,MATCH(A127,$A$102:$A$130,0),MATCH(Mælaborð!$C$4,Reykjavík!$A$102:$H$102,0))</f>
        <v>534884.32456925488</v>
      </c>
      <c r="M127" s="708"/>
      <c r="N127" s="708">
        <v>51151</v>
      </c>
      <c r="O127" s="708"/>
      <c r="P127" s="708"/>
      <c r="Q127" s="708"/>
      <c r="R127" s="708"/>
    </row>
    <row r="128" spans="1:19" x14ac:dyDescent="0.6">
      <c r="A128" s="1" t="s">
        <v>3</v>
      </c>
      <c r="B128" s="16" t="s">
        <v>13</v>
      </c>
      <c r="C128" s="3"/>
      <c r="D128" s="36">
        <f>D112+D117-D115+D120+D121+D123</f>
        <v>514537.20996545517</v>
      </c>
      <c r="E128" s="784">
        <f>E112+E117-E115+E120+E124</f>
        <v>532403.21753031854</v>
      </c>
      <c r="F128" s="784">
        <f>F112+F117-F115+F120+F124</f>
        <v>561140.83557745616</v>
      </c>
      <c r="G128" s="784">
        <f>G112+G117-G115+G120+G124</f>
        <v>570165.55064566492</v>
      </c>
      <c r="H128" s="783">
        <f>H112+H117-H115+H120+H124</f>
        <v>506332.0003530308</v>
      </c>
      <c r="J128" s="36">
        <f>INDEX($A$102:$H$130,MATCH(A128,$A$102:$A$130,0),MATCH(Mælaborð!$C$4,Reykjavík!$A$102:$H$102,0))</f>
        <v>506332.0003530308</v>
      </c>
      <c r="N128" s="708">
        <v>6752</v>
      </c>
      <c r="O128" s="708"/>
    </row>
    <row r="129" spans="1:15" x14ac:dyDescent="0.6">
      <c r="A129" s="1" t="s">
        <v>14</v>
      </c>
      <c r="B129" s="16" t="s">
        <v>13</v>
      </c>
      <c r="C129" s="3"/>
      <c r="D129" s="36">
        <f>D105-D23</f>
        <v>24057.260000000002</v>
      </c>
      <c r="E129" s="784">
        <f>E105</f>
        <v>23537.66</v>
      </c>
      <c r="F129" s="784">
        <f>F105</f>
        <v>21884.876442239503</v>
      </c>
      <c r="G129" s="784">
        <f>G105</f>
        <v>21471.577353191591</v>
      </c>
      <c r="H129" s="783">
        <f>H105</f>
        <v>25351.897336593593</v>
      </c>
      <c r="J129" s="36">
        <f>INDEX($A$102:$H$130,MATCH(A129,$A$102:$A$130,0),MATCH(Mælaborð!$C$4,Reykjavík!$A$102:$H$102,0))</f>
        <v>25351.897336593593</v>
      </c>
      <c r="N129" s="708">
        <v>54522</v>
      </c>
      <c r="O129" s="708"/>
    </row>
    <row r="130" spans="1:15" x14ac:dyDescent="0.6">
      <c r="A130" s="1" t="s">
        <v>5</v>
      </c>
      <c r="B130" s="16" t="s">
        <v>13</v>
      </c>
      <c r="C130" s="3"/>
      <c r="D130" s="784">
        <f>D115+D122+D23</f>
        <v>7615.6686298122586</v>
      </c>
      <c r="E130" s="784">
        <f>E115+E122+E23</f>
        <v>8557.222357701361</v>
      </c>
      <c r="F130" s="784">
        <f>F115+F122+F23</f>
        <v>10011.442175458735</v>
      </c>
      <c r="G130" s="784">
        <f>G115+G122+G23</f>
        <v>10112.7473908549</v>
      </c>
      <c r="H130" s="783">
        <f>H115+H122+H23</f>
        <v>10670.826879630527</v>
      </c>
      <c r="J130" s="36">
        <f>INDEX($A$102:$H$130,MATCH(A130,$A$102:$A$130,0),MATCH(Mælaborð!$C$4,Reykjavík!$A$102:$H$102,0))</f>
        <v>10670.826879630527</v>
      </c>
      <c r="N130" s="708">
        <v>45522</v>
      </c>
      <c r="O130" s="708"/>
    </row>
    <row r="131" spans="1:15" x14ac:dyDescent="0.6">
      <c r="A131" s="1"/>
      <c r="B131" s="2"/>
      <c r="C131" s="3"/>
      <c r="D131" s="3"/>
      <c r="E131" s="3"/>
      <c r="F131" s="3"/>
      <c r="G131" s="3"/>
      <c r="H131" s="3"/>
      <c r="J131" s="36"/>
      <c r="N131" s="708">
        <v>3510</v>
      </c>
      <c r="O131" s="708"/>
    </row>
    <row r="132" spans="1:15" x14ac:dyDescent="0.6">
      <c r="A132" s="6" t="s">
        <v>600</v>
      </c>
      <c r="B132" s="4" t="s">
        <v>0</v>
      </c>
      <c r="C132" s="5">
        <v>2015</v>
      </c>
      <c r="D132" s="5">
        <v>2016</v>
      </c>
      <c r="E132" s="5">
        <v>2017</v>
      </c>
      <c r="F132" s="5">
        <v>2018</v>
      </c>
      <c r="G132" s="5">
        <v>2019</v>
      </c>
      <c r="H132" s="5">
        <v>2020</v>
      </c>
      <c r="J132" s="36">
        <f>INDEX($A$102:$H$136,MATCH(A132,$A$102:$A$136,0),MATCH(Mælaborð!$C$4,Reykjavík!$A$102:$H$102,0))</f>
        <v>2020</v>
      </c>
      <c r="N132" s="787"/>
      <c r="O132" s="787"/>
    </row>
    <row r="133" spans="1:15" x14ac:dyDescent="0.6">
      <c r="A133" s="13" t="s">
        <v>6</v>
      </c>
      <c r="B133" s="16" t="s">
        <v>13</v>
      </c>
      <c r="C133" s="789">
        <f t="shared" ref="C133:H133" si="25">C105/C$4</f>
        <v>0</v>
      </c>
      <c r="D133" s="789">
        <f t="shared" si="25"/>
        <v>0.19712602425434286</v>
      </c>
      <c r="E133" s="789">
        <f t="shared" si="25"/>
        <v>0.19175283095723014</v>
      </c>
      <c r="F133" s="789">
        <f t="shared" si="25"/>
        <v>0.17447045857839458</v>
      </c>
      <c r="G133" s="789">
        <f t="shared" si="25"/>
        <v>0.16780306941544104</v>
      </c>
      <c r="H133" s="799">
        <f t="shared" si="25"/>
        <v>0.19455813158814775</v>
      </c>
      <c r="J133" s="785">
        <f>INDEX($A$132:$H$160,MATCH(A133,$A$132:$A$160,0),MATCH(Mælaborð!$C$4,Reykjavík!$A$102:$H$102,0))</f>
        <v>0.19455813158814775</v>
      </c>
      <c r="N133" s="708">
        <v>62840</v>
      </c>
      <c r="O133" s="708"/>
    </row>
    <row r="134" spans="1:15" x14ac:dyDescent="0.6">
      <c r="A134" s="13" t="s">
        <v>67</v>
      </c>
      <c r="B134" s="16" t="s">
        <v>13</v>
      </c>
      <c r="C134" s="789">
        <f t="shared" ref="C134:H135" si="26">C103/C$4</f>
        <v>0</v>
      </c>
      <c r="D134" s="789">
        <f t="shared" si="26"/>
        <v>7.1701737135365456E-2</v>
      </c>
      <c r="E134" s="789">
        <f t="shared" si="26"/>
        <v>7.1623136456211808E-2</v>
      </c>
      <c r="F134" s="789">
        <f t="shared" si="26"/>
        <v>5.2599990770109885E-2</v>
      </c>
      <c r="G134" s="789">
        <f t="shared" si="26"/>
        <v>5.1554673469928092E-2</v>
      </c>
      <c r="H134" s="799">
        <f t="shared" si="26"/>
        <v>5.1292055842781112E-2</v>
      </c>
      <c r="J134" s="785">
        <f>INDEX($A$132:$H$160,MATCH(A134,$A$132:$A$160,0),MATCH(Mælaborð!$C$4,Reykjavík!$A$102:$H$102,0))</f>
        <v>5.1292055842781112E-2</v>
      </c>
      <c r="N134" s="708">
        <v>102011</v>
      </c>
      <c r="O134" s="708"/>
    </row>
    <row r="135" spans="1:15" x14ac:dyDescent="0.6">
      <c r="A135" s="13" t="s">
        <v>104</v>
      </c>
      <c r="B135" s="16" t="s">
        <v>13</v>
      </c>
      <c r="C135" s="789">
        <f t="shared" si="26"/>
        <v>0</v>
      </c>
      <c r="D135" s="789">
        <f t="shared" si="26"/>
        <v>0.12542428711897738</v>
      </c>
      <c r="E135" s="789">
        <f t="shared" si="26"/>
        <v>0.12012969450101833</v>
      </c>
      <c r="F135" s="789">
        <f t="shared" si="26"/>
        <v>0.12187046780828469</v>
      </c>
      <c r="G135" s="789">
        <f t="shared" si="26"/>
        <v>0.11624839594551295</v>
      </c>
      <c r="H135" s="799">
        <f t="shared" si="26"/>
        <v>0.14326607574536665</v>
      </c>
      <c r="J135" s="785">
        <f>INDEX($A$132:$H$160,MATCH(A135,$A$132:$A$160,0),MATCH(Mælaborð!$C$4,Reykjavík!$A$102:$H$102,0))</f>
        <v>0.14326607574536665</v>
      </c>
      <c r="N135" s="708"/>
      <c r="O135" s="708">
        <f>SUM(N123:N129)</f>
        <v>414307</v>
      </c>
    </row>
    <row r="136" spans="1:15" x14ac:dyDescent="0.6">
      <c r="A136" s="13" t="s">
        <v>78</v>
      </c>
      <c r="B136" s="16" t="s">
        <v>13</v>
      </c>
      <c r="C136" s="789">
        <f t="shared" ref="C136:H136" si="27">C112/C$4</f>
        <v>0</v>
      </c>
      <c r="D136" s="789">
        <f t="shared" si="27"/>
        <v>2.9219388092650247</v>
      </c>
      <c r="E136" s="789">
        <f t="shared" si="27"/>
        <v>3.0698372003353271</v>
      </c>
      <c r="F136" s="789">
        <f t="shared" si="27"/>
        <v>3.1438714820775977</v>
      </c>
      <c r="G136" s="789">
        <f t="shared" si="27"/>
        <v>3.1995021210714656</v>
      </c>
      <c r="H136" s="799">
        <f t="shared" si="27"/>
        <v>2.7346186123832235</v>
      </c>
      <c r="J136" s="785">
        <f>INDEX($A$132:$H$160,MATCH(A136,$A$132:$A$160,0),MATCH(Mælaborð!$C$4,Reykjavík!$A$102:$H$102,0))</f>
        <v>2.7346186123832235</v>
      </c>
    </row>
    <row r="137" spans="1:15" s="788" customFormat="1" x14ac:dyDescent="0.6">
      <c r="A137" s="13" t="s">
        <v>105</v>
      </c>
      <c r="B137" s="16" t="s">
        <v>13</v>
      </c>
      <c r="C137" s="789">
        <f t="shared" ref="C137:H137" si="28">C106/C$4</f>
        <v>0</v>
      </c>
      <c r="D137" s="789">
        <f t="shared" si="28"/>
        <v>2.5497810692301166</v>
      </c>
      <c r="E137" s="789">
        <f t="shared" si="28"/>
        <v>2.7379046540982546</v>
      </c>
      <c r="F137" s="789">
        <f t="shared" si="28"/>
        <v>2.7544106491241664</v>
      </c>
      <c r="G137" s="789">
        <f t="shared" si="28"/>
        <v>2.7461392720277549</v>
      </c>
      <c r="H137" s="789">
        <f t="shared" si="28"/>
        <v>2.4114164784865326</v>
      </c>
      <c r="J137" s="785">
        <f>INDEX($A$132:$H$160,MATCH(A137,$A$132:$A$160,0),MATCH(Mælaborð!$C$4,Reykjavík!$A$102:$H$102,0))</f>
        <v>2.4114164784865326</v>
      </c>
    </row>
    <row r="138" spans="1:15" x14ac:dyDescent="0.6">
      <c r="A138" s="13" t="s">
        <v>169</v>
      </c>
      <c r="B138" s="16" t="s">
        <v>13</v>
      </c>
      <c r="C138" s="789">
        <f t="shared" ref="C138:C160" si="29">C113/C$4</f>
        <v>0.36815966107541276</v>
      </c>
      <c r="D138" s="789">
        <f t="shared" ref="D138:H142" si="30">D107/D$4</f>
        <v>1.7695002100126758</v>
      </c>
      <c r="E138" s="789">
        <f t="shared" si="30"/>
        <v>1.9000544473743244</v>
      </c>
      <c r="F138" s="789">
        <f t="shared" si="30"/>
        <v>1.9115092981524104</v>
      </c>
      <c r="G138" s="789">
        <f t="shared" si="30"/>
        <v>1.8949656147396965</v>
      </c>
      <c r="H138" s="799">
        <f t="shared" si="30"/>
        <v>1.678740934763636</v>
      </c>
      <c r="J138" s="785">
        <f>INDEX($A$132:$H$160,MATCH(A138,$A$132:$A$160,0),MATCH(Mælaborð!$C$4,Reykjavík!$A$102:$H$102,0))</f>
        <v>1.678740934763636</v>
      </c>
    </row>
    <row r="139" spans="1:15" x14ac:dyDescent="0.6">
      <c r="A139" s="13" t="s">
        <v>203</v>
      </c>
      <c r="B139" s="16" t="s">
        <v>13</v>
      </c>
      <c r="C139" s="789">
        <f t="shared" si="29"/>
        <v>0</v>
      </c>
      <c r="D139" s="789">
        <f t="shared" si="30"/>
        <v>0.13198573567327959</v>
      </c>
      <c r="E139" s="789">
        <f t="shared" si="30"/>
        <v>0.1417236814310355</v>
      </c>
      <c r="F139" s="789">
        <f t="shared" si="30"/>
        <v>0.14257809043218644</v>
      </c>
      <c r="G139" s="789">
        <f t="shared" si="30"/>
        <v>0.14218932537783641</v>
      </c>
      <c r="H139" s="799">
        <f t="shared" si="30"/>
        <v>0.10935171327573701</v>
      </c>
      <c r="J139" s="785">
        <f>INDEX($A$132:$H$160,MATCH(A139,$A$132:$A$160,0),MATCH(Mælaborð!$C$4,Reykjavík!$A$102:$H$102,0))</f>
        <v>0.10935171327573701</v>
      </c>
    </row>
    <row r="140" spans="1:15" x14ac:dyDescent="0.6">
      <c r="A140" s="13" t="s">
        <v>480</v>
      </c>
      <c r="B140" s="16" t="s">
        <v>13</v>
      </c>
      <c r="C140" s="789">
        <f t="shared" si="29"/>
        <v>0</v>
      </c>
      <c r="D140" s="789">
        <f t="shared" si="30"/>
        <v>0.64829512354416141</v>
      </c>
      <c r="E140" s="789">
        <f t="shared" si="30"/>
        <v>0.69612652529289443</v>
      </c>
      <c r="F140" s="789">
        <f t="shared" si="30"/>
        <v>0.7003232605395695</v>
      </c>
      <c r="G140" s="789">
        <f t="shared" si="30"/>
        <v>0.70898433191022225</v>
      </c>
      <c r="H140" s="799">
        <f t="shared" si="30"/>
        <v>0.62332383044715933</v>
      </c>
      <c r="J140" s="785">
        <f>INDEX($A$132:$H$160,MATCH(A140,$A$132:$A$160,0),MATCH(Mælaborð!$C$4,Reykjavík!$A$102:$H$102,0))</f>
        <v>0.62332383044715933</v>
      </c>
    </row>
    <row r="141" spans="1:15" s="787" customFormat="1" x14ac:dyDescent="0.6">
      <c r="A141" s="13" t="s">
        <v>106</v>
      </c>
      <c r="B141" s="16" t="s">
        <v>13</v>
      </c>
      <c r="C141" s="789">
        <f t="shared" si="29"/>
        <v>6.6369235496341203E-2</v>
      </c>
      <c r="D141" s="789">
        <f t="shared" si="30"/>
        <v>0.32790408534087184</v>
      </c>
      <c r="E141" s="789">
        <f t="shared" si="30"/>
        <v>0.292891035885947</v>
      </c>
      <c r="F141" s="789">
        <f t="shared" si="30"/>
        <v>0.33106143666092669</v>
      </c>
      <c r="G141" s="789">
        <f t="shared" si="30"/>
        <v>0.39914777468055673</v>
      </c>
      <c r="H141" s="799">
        <f t="shared" si="30"/>
        <v>0.28834116730747095</v>
      </c>
      <c r="J141" s="785">
        <f>INDEX($A$132:$H$160,MATCH(A141,$A$132:$A$160,0),MATCH(Mælaborð!$C$4,Reykjavík!$A$102:$H$102,0))</f>
        <v>0.28834116730747095</v>
      </c>
    </row>
    <row r="142" spans="1:15" s="787" customFormat="1" x14ac:dyDescent="0.6">
      <c r="A142" s="13" t="s">
        <v>107</v>
      </c>
      <c r="B142" s="16" t="s">
        <v>13</v>
      </c>
      <c r="C142" s="789">
        <f t="shared" si="29"/>
        <v>0</v>
      </c>
      <c r="D142" s="789">
        <f t="shared" si="30"/>
        <v>4.4253654694036033E-2</v>
      </c>
      <c r="E142" s="789">
        <f t="shared" si="30"/>
        <v>3.9041510351125498E-2</v>
      </c>
      <c r="F142" s="789">
        <f t="shared" si="30"/>
        <v>5.8399396292504492E-2</v>
      </c>
      <c r="G142" s="789">
        <f t="shared" si="30"/>
        <v>5.4215074363154127E-2</v>
      </c>
      <c r="H142" s="799">
        <f t="shared" si="30"/>
        <v>3.4860966589220332E-2</v>
      </c>
      <c r="J142" s="785">
        <f>INDEX($A$132:$H$160,MATCH(A142,$A$132:$A$160,0),MATCH(Mælaborð!$C$4,Reykjavík!$A$102:$H$102,0))</f>
        <v>3.4860966589220332E-2</v>
      </c>
    </row>
    <row r="143" spans="1:15" s="787" customFormat="1" x14ac:dyDescent="0.6">
      <c r="A143" s="13" t="s">
        <v>32</v>
      </c>
      <c r="B143" s="16" t="s">
        <v>13</v>
      </c>
      <c r="C143" s="789">
        <f t="shared" si="29"/>
        <v>0</v>
      </c>
      <c r="D143" s="789">
        <f>D117/D$4</f>
        <v>0.49730637767846753</v>
      </c>
      <c r="E143" s="789">
        <f>E117/E$4</f>
        <v>0.56554676699066486</v>
      </c>
      <c r="F143" s="789">
        <f>F117/F$4</f>
        <v>0.55178320076310727</v>
      </c>
      <c r="G143" s="789">
        <f>G117/G$4</f>
        <v>0.49139407764970833</v>
      </c>
      <c r="H143" s="799">
        <f>H117/H$4</f>
        <v>0.40432937713884387</v>
      </c>
      <c r="J143" s="785">
        <f>INDEX($A$132:$H$160,MATCH(A143,$A$132:$A$160,0),MATCH(Mælaborð!$C$4,Reykjavík!$A$102:$H$102,0))</f>
        <v>0.40432937713884387</v>
      </c>
    </row>
    <row r="144" spans="1:15" s="787" customFormat="1" x14ac:dyDescent="0.6">
      <c r="A144" s="13" t="s">
        <v>108</v>
      </c>
      <c r="B144" s="16" t="s">
        <v>13</v>
      </c>
      <c r="C144" s="789">
        <f t="shared" si="29"/>
        <v>0</v>
      </c>
      <c r="D144" s="789">
        <f t="shared" ref="D144:H147" si="31">D113/D$4</f>
        <v>0.40890983054367397</v>
      </c>
      <c r="E144" s="789">
        <f t="shared" si="31"/>
        <v>0.4776250374978111</v>
      </c>
      <c r="F144" s="789">
        <f t="shared" si="31"/>
        <v>0.46340549197459668</v>
      </c>
      <c r="G144" s="789">
        <f t="shared" si="31"/>
        <v>0.40837347705915417</v>
      </c>
      <c r="H144" s="799">
        <f t="shared" si="31"/>
        <v>0.32018332972803326</v>
      </c>
      <c r="J144" s="785">
        <f>INDEX($A$132:$H$160,MATCH(A144,$A$132:$A$160,0),MATCH(Mælaborð!$C$4,Reykjavík!$A$102:$H$102,0))</f>
        <v>0.32018332972803326</v>
      </c>
    </row>
    <row r="145" spans="1:12" x14ac:dyDescent="0.6">
      <c r="A145" s="13" t="s">
        <v>55</v>
      </c>
      <c r="B145" s="16" t="s">
        <v>13</v>
      </c>
      <c r="C145" s="789">
        <f t="shared" si="29"/>
        <v>0</v>
      </c>
      <c r="D145" s="789">
        <f t="shared" si="31"/>
        <v>0</v>
      </c>
      <c r="E145" s="789">
        <f t="shared" si="31"/>
        <v>0</v>
      </c>
      <c r="F145" s="789">
        <f t="shared" si="31"/>
        <v>0</v>
      </c>
      <c r="G145" s="789">
        <f t="shared" si="31"/>
        <v>0</v>
      </c>
      <c r="H145" s="799">
        <f t="shared" si="31"/>
        <v>1.5499884137078709E-3</v>
      </c>
      <c r="J145" s="785">
        <f>INDEX($A$132:$H$160,MATCH(A145,$A$132:$A$160,0),MATCH(Mælaborð!$C$4,Reykjavík!$A$102:$H$102,0))</f>
        <v>1.5499884137078709E-3</v>
      </c>
    </row>
    <row r="146" spans="1:12" x14ac:dyDescent="0.6">
      <c r="A146" s="13" t="s">
        <v>109</v>
      </c>
      <c r="B146" s="16" t="s">
        <v>13</v>
      </c>
      <c r="C146" s="789">
        <f t="shared" si="29"/>
        <v>0.31930127547126275</v>
      </c>
      <c r="D146" s="789">
        <f t="shared" si="31"/>
        <v>2.3227373236744168E-2</v>
      </c>
      <c r="E146" s="789">
        <f t="shared" si="31"/>
        <v>2.4296719818341028E-2</v>
      </c>
      <c r="F146" s="789">
        <f t="shared" si="31"/>
        <v>2.387603509932739E-2</v>
      </c>
      <c r="G146" s="789">
        <f t="shared" si="31"/>
        <v>2.1612858488893213E-2</v>
      </c>
      <c r="H146" s="799">
        <f t="shared" si="31"/>
        <v>2.2309193842423046E-2</v>
      </c>
      <c r="J146" s="785">
        <f>INDEX($A$132:$H$160,MATCH(A146,$A$132:$A$160,0),MATCH(Mælaborð!$C$4,Reykjavík!$A$102:$H$102,0))</f>
        <v>2.2309193842423046E-2</v>
      </c>
    </row>
    <row r="147" spans="1:12" x14ac:dyDescent="0.6">
      <c r="A147" s="13" t="s">
        <v>57</v>
      </c>
      <c r="B147" s="16" t="s">
        <v>13</v>
      </c>
      <c r="C147" s="789">
        <f t="shared" si="29"/>
        <v>3.0045293584781363E-2</v>
      </c>
      <c r="D147" s="789">
        <f t="shared" si="31"/>
        <v>6.5169173898049382E-2</v>
      </c>
      <c r="E147" s="789">
        <f t="shared" si="31"/>
        <v>6.362500967451265E-2</v>
      </c>
      <c r="F147" s="789">
        <f t="shared" si="31"/>
        <v>6.4501673689183164E-2</v>
      </c>
      <c r="G147" s="789">
        <f t="shared" si="31"/>
        <v>6.1407742101660945E-2</v>
      </c>
      <c r="H147" s="799">
        <f t="shared" si="31"/>
        <v>6.028686515467975E-2</v>
      </c>
      <c r="J147" s="785">
        <f>INDEX($A$132:$H$160,MATCH(A147,$A$132:$A$160,0),MATCH(Mælaborð!$C$4,Reykjavík!$A$102:$H$102,0))</f>
        <v>6.028686515467975E-2</v>
      </c>
    </row>
    <row r="148" spans="1:12" s="787" customFormat="1" x14ac:dyDescent="0.6">
      <c r="A148" s="13" t="s">
        <v>496</v>
      </c>
      <c r="B148" s="16" t="s">
        <v>13</v>
      </c>
      <c r="C148" s="789">
        <f t="shared" si="29"/>
        <v>0</v>
      </c>
      <c r="D148" s="789">
        <f>D120/D$4</f>
        <v>0.3871816776445598</v>
      </c>
      <c r="E148" s="789">
        <f>E120/E$4</f>
        <v>0.38832944914904582</v>
      </c>
      <c r="F148" s="789">
        <f>F120/F$4</f>
        <v>0.37559890693201115</v>
      </c>
      <c r="G148" s="789">
        <f>G120/G$4</f>
        <v>0.36834253849930731</v>
      </c>
      <c r="H148" s="799">
        <f>H120/H$4</f>
        <v>0.36893768102469643</v>
      </c>
      <c r="J148" s="785">
        <f>INDEX($A$132:$H$160,MATCH(A148,$A$132:$A$160,0),MATCH(Mælaborð!$C$4,Reykjavík!$A$102:$H$102,0))</f>
        <v>0.36893768102469643</v>
      </c>
    </row>
    <row r="149" spans="1:12" x14ac:dyDescent="0.6">
      <c r="A149" s="13" t="s">
        <v>547</v>
      </c>
      <c r="B149" s="16" t="s">
        <v>13</v>
      </c>
      <c r="C149" s="789">
        <f t="shared" si="29"/>
        <v>0</v>
      </c>
      <c r="D149" s="789">
        <f t="shared" ref="D149:H150" si="32">D118/D$4</f>
        <v>1.499223156130842E-2</v>
      </c>
      <c r="E149" s="789">
        <f t="shared" si="32"/>
        <v>1.8292789271245363E-2</v>
      </c>
      <c r="F149" s="789">
        <f t="shared" si="32"/>
        <v>1.3485956901716804E-2</v>
      </c>
      <c r="G149" s="789">
        <f t="shared" si="32"/>
        <v>1.3363912867259027E-2</v>
      </c>
      <c r="H149" s="799">
        <f t="shared" si="32"/>
        <v>2.0355508429631013E-2</v>
      </c>
      <c r="J149" s="785">
        <f>INDEX($A$132:$H$160,MATCH(A149,$A$132:$A$160,0),MATCH(Mælaborð!$C$4,Reykjavík!$A$102:$H$102,0))</f>
        <v>2.0355508429631013E-2</v>
      </c>
    </row>
    <row r="150" spans="1:12" x14ac:dyDescent="0.6">
      <c r="A150" s="13" t="s">
        <v>111</v>
      </c>
      <c r="B150" s="16" t="s">
        <v>13</v>
      </c>
      <c r="C150" s="789">
        <f t="shared" si="29"/>
        <v>0</v>
      </c>
      <c r="D150" s="789">
        <f t="shared" si="32"/>
        <v>0.37218944608325139</v>
      </c>
      <c r="E150" s="789">
        <f t="shared" si="32"/>
        <v>0.37003665987780043</v>
      </c>
      <c r="F150" s="789">
        <f t="shared" si="32"/>
        <v>0.36211295003029431</v>
      </c>
      <c r="G150" s="789">
        <f t="shared" si="32"/>
        <v>0.35497862563204824</v>
      </c>
      <c r="H150" s="799">
        <f t="shared" si="32"/>
        <v>0.34858217259506541</v>
      </c>
      <c r="J150" s="785">
        <f>INDEX($A$132:$H$160,MATCH(A150,$A$132:$A$160,0),MATCH(Mælaborð!$C$4,Reykjavík!$A$102:$H$102,0))</f>
        <v>0.34858217259506541</v>
      </c>
    </row>
    <row r="151" spans="1:12" x14ac:dyDescent="0.6">
      <c r="A151" s="13" t="s">
        <v>548</v>
      </c>
      <c r="B151" s="16" t="s">
        <v>13</v>
      </c>
      <c r="C151" s="789">
        <f t="shared" si="29"/>
        <v>0</v>
      </c>
      <c r="D151" s="789">
        <f>D124/D$4</f>
        <v>0.47211196362620095</v>
      </c>
      <c r="E151" s="789">
        <f>E124/E$4</f>
        <v>0.33788039116667212</v>
      </c>
      <c r="F151" s="789">
        <f>F124/F$4</f>
        <v>0.42614548159575327</v>
      </c>
      <c r="G151" s="789">
        <f>G124/G$4</f>
        <v>0.41828939472484589</v>
      </c>
      <c r="H151" s="799">
        <f>H124/H$4</f>
        <v>0.40016850892960065</v>
      </c>
      <c r="J151" s="785">
        <f>INDEX($A$132:$H$160,MATCH(A151,$A$132:$A$160,0),MATCH(Mælaborð!$C$4,Reykjavík!$A$102:$H$102,0))</f>
        <v>0.40016850892960065</v>
      </c>
    </row>
    <row r="152" spans="1:12" x14ac:dyDescent="0.6">
      <c r="A152" s="13" t="s">
        <v>48</v>
      </c>
      <c r="B152" s="16" t="s">
        <v>13</v>
      </c>
      <c r="C152" s="789">
        <f t="shared" si="29"/>
        <v>0</v>
      </c>
      <c r="D152" s="789">
        <f t="shared" ref="D152:H154" si="33">D121/D$4</f>
        <v>0.35378529217920873</v>
      </c>
      <c r="E152" s="789">
        <f t="shared" si="33"/>
        <v>0.24228850351724107</v>
      </c>
      <c r="F152" s="789">
        <f t="shared" si="33"/>
        <v>0.29712486608809385</v>
      </c>
      <c r="G152" s="789">
        <f t="shared" si="33"/>
        <v>0.32082911941078912</v>
      </c>
      <c r="H152" s="799">
        <f t="shared" si="33"/>
        <v>0.28466589911917617</v>
      </c>
      <c r="J152" s="785">
        <f>INDEX($A$132:$H$160,MATCH(A152,$A$132:$A$160,0),MATCH(Mælaborð!$C$4,Reykjavík!$A$102:$H$102,0))</f>
        <v>0.28466589911917617</v>
      </c>
    </row>
    <row r="153" spans="1:12" x14ac:dyDescent="0.6">
      <c r="A153" s="13" t="s">
        <v>113</v>
      </c>
      <c r="B153" s="16" t="s">
        <v>13</v>
      </c>
      <c r="C153" s="789">
        <f t="shared" si="29"/>
        <v>0</v>
      </c>
      <c r="D153" s="789">
        <f t="shared" si="33"/>
        <v>3.9175680104883648E-2</v>
      </c>
      <c r="E153" s="789">
        <f t="shared" si="33"/>
        <v>4.5415885947046847E-2</v>
      </c>
      <c r="F153" s="789">
        <f t="shared" si="33"/>
        <v>5.400841863579834E-2</v>
      </c>
      <c r="G153" s="789">
        <f t="shared" si="33"/>
        <v>5.5668701204310826E-2</v>
      </c>
      <c r="H153" s="799">
        <f t="shared" si="33"/>
        <v>5.7330110126242284E-2</v>
      </c>
      <c r="J153" s="785">
        <f>INDEX($A$132:$H$160,MATCH(A153,$A$132:$A$160,0),MATCH(Mælaborð!$C$4,Reykjavík!$A$102:$H$102,0))</f>
        <v>5.7330110126242284E-2</v>
      </c>
      <c r="L153" s="787"/>
    </row>
    <row r="154" spans="1:12" x14ac:dyDescent="0.6">
      <c r="A154" s="13" t="s">
        <v>580</v>
      </c>
      <c r="B154" s="16" t="s">
        <v>13</v>
      </c>
      <c r="C154" s="789">
        <f t="shared" si="29"/>
        <v>0</v>
      </c>
      <c r="D154" s="789">
        <f t="shared" si="33"/>
        <v>7.9150991342108498E-2</v>
      </c>
      <c r="E154" s="789">
        <f t="shared" si="33"/>
        <v>5.0176001702384225E-2</v>
      </c>
      <c r="F154" s="789">
        <f t="shared" si="33"/>
        <v>7.50121968718611E-2</v>
      </c>
      <c r="G154" s="789">
        <f t="shared" si="33"/>
        <v>4.179157410974587E-2</v>
      </c>
      <c r="H154" s="799">
        <f t="shared" si="33"/>
        <v>5.8172499684182193E-2</v>
      </c>
      <c r="J154" s="785">
        <f>INDEX($A$132:$H$160,MATCH(A154,$A$132:$A$160,0),MATCH(Mælaborð!$C$4,Reykjavík!$A$102:$H$102,0))</f>
        <v>5.8172499684182193E-2</v>
      </c>
    </row>
    <row r="155" spans="1:12" x14ac:dyDescent="0.6">
      <c r="A155" s="13" t="s">
        <v>549</v>
      </c>
      <c r="B155" s="16" t="s">
        <v>13</v>
      </c>
      <c r="C155" s="789">
        <f t="shared" si="29"/>
        <v>0</v>
      </c>
      <c r="D155" s="789">
        <f t="shared" ref="D155:H160" si="34">D125/D$4</f>
        <v>3.6163712111978352</v>
      </c>
      <c r="E155" s="789">
        <f t="shared" si="34"/>
        <v>3.8271367982832216</v>
      </c>
      <c r="F155" s="789">
        <f t="shared" si="34"/>
        <v>3.8681964460147538</v>
      </c>
      <c r="G155" s="789">
        <f t="shared" si="34"/>
        <v>3.856948438895607</v>
      </c>
      <c r="H155" s="799">
        <f t="shared" si="34"/>
        <v>3.3312542706363768</v>
      </c>
      <c r="J155" s="785">
        <f>INDEX($A$132:$H$160,MATCH(A155,$A$132:$A$160,0),MATCH(Mælaborð!$C$4,Reykjavík!$A$102:$H$102,0))</f>
        <v>3.3312542706363768</v>
      </c>
    </row>
    <row r="156" spans="1:12" x14ac:dyDescent="0.6">
      <c r="A156" s="13" t="s">
        <v>550</v>
      </c>
      <c r="B156" s="16" t="s">
        <v>13</v>
      </c>
      <c r="C156" s="789">
        <f t="shared" si="29"/>
        <v>0</v>
      </c>
      <c r="D156" s="789">
        <f t="shared" si="34"/>
        <v>4.3573381810216043</v>
      </c>
      <c r="E156" s="789">
        <f t="shared" si="34"/>
        <v>4.4577547509495092</v>
      </c>
      <c r="F156" s="789">
        <f t="shared" si="34"/>
        <v>4.5428489144392046</v>
      </c>
      <c r="G156" s="789">
        <f t="shared" si="34"/>
        <v>4.5478709260467109</v>
      </c>
      <c r="H156" s="799">
        <f t="shared" si="34"/>
        <v>3.9871097012540884</v>
      </c>
      <c r="J156" s="785">
        <f>INDEX($A$132:$H$160,MATCH(A156,$A$132:$A$160,0),MATCH(Mælaborð!$C$4,Reykjavík!$A$102:$H$102,0))</f>
        <v>3.9871097012540884</v>
      </c>
    </row>
    <row r="157" spans="1:12" x14ac:dyDescent="0.6">
      <c r="A157" s="13" t="s">
        <v>551</v>
      </c>
      <c r="B157" s="16" t="s">
        <v>13</v>
      </c>
      <c r="C157" s="789">
        <f t="shared" si="29"/>
        <v>1.6593922424442065E-2</v>
      </c>
      <c r="D157" s="789">
        <f t="shared" si="34"/>
        <v>4.4756648524685971</v>
      </c>
      <c r="E157" s="789">
        <f t="shared" si="34"/>
        <v>4.5533466385989403</v>
      </c>
      <c r="F157" s="789">
        <f t="shared" si="34"/>
        <v>4.6737982253512085</v>
      </c>
      <c r="G157" s="789">
        <f t="shared" si="34"/>
        <v>4.6470820306017746</v>
      </c>
      <c r="H157" s="799">
        <f t="shared" si="34"/>
        <v>4.1048641615383517</v>
      </c>
      <c r="J157" s="785">
        <f>INDEX($A$132:$H$160,MATCH(A157,$A$132:$A$160,0),MATCH(Mælaborð!$C$4,Reykjavík!$A$102:$H$102,0))</f>
        <v>4.1048641615383517</v>
      </c>
    </row>
    <row r="158" spans="1:12" x14ac:dyDescent="0.6">
      <c r="A158" s="1" t="s">
        <v>3</v>
      </c>
      <c r="B158" s="16" t="s">
        <v>13</v>
      </c>
      <c r="C158" s="789">
        <f t="shared" si="29"/>
        <v>0</v>
      </c>
      <c r="D158" s="789">
        <f t="shared" si="34"/>
        <v>4.2161357748726251</v>
      </c>
      <c r="E158" s="789">
        <f t="shared" si="34"/>
        <v>4.3372970878233685</v>
      </c>
      <c r="F158" s="789">
        <f t="shared" si="34"/>
        <v>4.4735230362691425</v>
      </c>
      <c r="G158" s="789">
        <f t="shared" si="34"/>
        <v>4.4559152734564336</v>
      </c>
      <c r="H158" s="799">
        <f t="shared" si="34"/>
        <v>3.8857449856339419</v>
      </c>
      <c r="J158" s="785">
        <f>INDEX($A$132:$H$160,MATCH(A158,$A$132:$A$160,0),MATCH(Mælaborð!$C$4,Reykjavík!$A$102:$H$102,0))</f>
        <v>3.8857449856339419</v>
      </c>
    </row>
    <row r="159" spans="1:12" x14ac:dyDescent="0.6">
      <c r="A159" s="1" t="s">
        <v>14</v>
      </c>
      <c r="B159" s="16" t="s">
        <v>13</v>
      </c>
      <c r="C159" s="789">
        <f t="shared" si="29"/>
        <v>0</v>
      </c>
      <c r="D159" s="789">
        <f t="shared" si="34"/>
        <v>0.19712602425434286</v>
      </c>
      <c r="E159" s="789">
        <f t="shared" si="34"/>
        <v>0.19175283095723014</v>
      </c>
      <c r="F159" s="789">
        <f t="shared" si="34"/>
        <v>0.17447045857839458</v>
      </c>
      <c r="G159" s="789">
        <f t="shared" si="34"/>
        <v>0.16780306941544104</v>
      </c>
      <c r="H159" s="799">
        <f t="shared" si="34"/>
        <v>0.19455813158814775</v>
      </c>
      <c r="J159" s="785">
        <f>INDEX($A$132:$H$160,MATCH(A159,$A$132:$A$160,0),MATCH(Mælaborð!$C$4,Reykjavík!$A$102:$H$102,0))</f>
        <v>0.19455813158814775</v>
      </c>
    </row>
    <row r="160" spans="1:12" x14ac:dyDescent="0.6">
      <c r="A160" s="1" t="s">
        <v>5</v>
      </c>
      <c r="B160" s="16" t="s">
        <v>13</v>
      </c>
      <c r="C160" s="789">
        <f t="shared" si="29"/>
        <v>0</v>
      </c>
      <c r="D160" s="789">
        <f t="shared" si="34"/>
        <v>6.2403053341627816E-2</v>
      </c>
      <c r="E160" s="789">
        <f t="shared" si="34"/>
        <v>6.9712605765387875E-2</v>
      </c>
      <c r="F160" s="789">
        <f t="shared" si="34"/>
        <v>7.9813149139471407E-2</v>
      </c>
      <c r="G160" s="789">
        <f t="shared" si="34"/>
        <v>7.9032388934211495E-2</v>
      </c>
      <c r="H160" s="799">
        <f t="shared" si="34"/>
        <v>8.1891154442504333E-2</v>
      </c>
      <c r="J160" s="785">
        <f>INDEX($A$132:$H$160,MATCH(A160,$A$132:$A$160,0),MATCH(Mælaborð!$C$4,Reykjavík!$A$102:$H$102,0))</f>
        <v>8.1891154442504333E-2</v>
      </c>
    </row>
    <row r="161" spans="1:10" x14ac:dyDescent="0.6">
      <c r="A161" s="1"/>
      <c r="B161" s="2"/>
      <c r="C161" s="3"/>
      <c r="D161" s="3"/>
      <c r="E161" s="3"/>
      <c r="F161" s="3"/>
      <c r="G161" s="3"/>
      <c r="H161" s="3"/>
    </row>
    <row r="162" spans="1:10" x14ac:dyDescent="0.6">
      <c r="A162" s="1"/>
      <c r="B162" s="2"/>
      <c r="C162" s="3"/>
      <c r="D162" s="3"/>
      <c r="E162" s="3"/>
      <c r="F162" s="3"/>
      <c r="G162" s="3"/>
      <c r="H162" s="3"/>
    </row>
    <row r="163" spans="1:10" s="788" customFormat="1" x14ac:dyDescent="0.6">
      <c r="A163" s="6" t="s">
        <v>622</v>
      </c>
      <c r="B163" s="4" t="s">
        <v>0</v>
      </c>
      <c r="C163" s="5">
        <v>2015</v>
      </c>
      <c r="D163" s="5">
        <v>2016</v>
      </c>
      <c r="E163" s="5">
        <v>2017</v>
      </c>
      <c r="F163" s="5">
        <v>2018</v>
      </c>
      <c r="G163" s="5">
        <v>2019</v>
      </c>
      <c r="H163" s="5">
        <v>2020</v>
      </c>
      <c r="J163" s="788">
        <f>Mælaborð!$C$4</f>
        <v>2020</v>
      </c>
    </row>
    <row r="164" spans="1:10" s="788" customFormat="1" x14ac:dyDescent="0.6">
      <c r="A164" s="13" t="str">
        <f>A105</f>
        <v>Orkunotkun</v>
      </c>
      <c r="B164" s="16" t="str">
        <f t="shared" ref="B164:J164" si="35">B105</f>
        <v>tCO2Í</v>
      </c>
      <c r="C164" s="34">
        <f t="shared" si="35"/>
        <v>0</v>
      </c>
      <c r="D164" s="36">
        <f t="shared" si="35"/>
        <v>24057.260000000002</v>
      </c>
      <c r="E164" s="36">
        <f t="shared" si="35"/>
        <v>23537.66</v>
      </c>
      <c r="F164" s="36">
        <f t="shared" si="35"/>
        <v>21884.876442239503</v>
      </c>
      <c r="G164" s="36">
        <f t="shared" si="35"/>
        <v>21471.577353191591</v>
      </c>
      <c r="H164" s="783">
        <f>H105</f>
        <v>25351.897336593593</v>
      </c>
      <c r="J164" s="36">
        <f t="shared" si="35"/>
        <v>25351.897336593593</v>
      </c>
    </row>
    <row r="165" spans="1:10" s="788" customFormat="1" x14ac:dyDescent="0.6">
      <c r="A165" s="13" t="str">
        <f>A107</f>
        <v>Fólksbifreiðar</v>
      </c>
      <c r="B165" s="16" t="str">
        <f t="shared" ref="B165:J165" si="36">B107</f>
        <v>tCO2Í</v>
      </c>
      <c r="C165" s="34">
        <f t="shared" si="36"/>
        <v>0</v>
      </c>
      <c r="D165" s="36">
        <f t="shared" si="36"/>
        <v>215949.80562994696</v>
      </c>
      <c r="E165" s="36">
        <f t="shared" si="36"/>
        <v>233231.68341519832</v>
      </c>
      <c r="F165" s="36">
        <f t="shared" si="36"/>
        <v>239772.08032304575</v>
      </c>
      <c r="G165" s="36">
        <f t="shared" si="36"/>
        <v>242474.11516524735</v>
      </c>
      <c r="H165" s="783">
        <f t="shared" si="36"/>
        <v>218748.33750437558</v>
      </c>
      <c r="J165" s="36">
        <f t="shared" si="36"/>
        <v>218748.33750437558</v>
      </c>
    </row>
    <row r="166" spans="1:10" s="788" customFormat="1" x14ac:dyDescent="0.6">
      <c r="A166" s="13" t="str">
        <f>A108</f>
        <v>Hópbifreiðar</v>
      </c>
      <c r="B166" s="16" t="str">
        <f t="shared" ref="B166:J166" si="37">B108</f>
        <v>tCO2Í</v>
      </c>
      <c r="C166" s="34">
        <f t="shared" si="37"/>
        <v>0</v>
      </c>
      <c r="D166" s="36">
        <f t="shared" si="37"/>
        <v>16107.539181567041</v>
      </c>
      <c r="E166" s="36">
        <f t="shared" si="37"/>
        <v>17396.581895659609</v>
      </c>
      <c r="F166" s="36">
        <f t="shared" si="37"/>
        <v>17884.42535145174</v>
      </c>
      <c r="G166" s="36">
        <f t="shared" si="37"/>
        <v>18194.119507371812</v>
      </c>
      <c r="H166" s="783">
        <f t="shared" si="37"/>
        <v>14249.07499839491</v>
      </c>
      <c r="J166" s="36">
        <f t="shared" si="37"/>
        <v>14249.07499839491</v>
      </c>
    </row>
    <row r="167" spans="1:10" s="788" customFormat="1" x14ac:dyDescent="0.6">
      <c r="A167" s="13" t="str">
        <f>A109</f>
        <v>Vörubifreiðar</v>
      </c>
      <c r="B167" s="16" t="str">
        <f t="shared" ref="B167:J167" si="38">B109</f>
        <v>tCO2Í</v>
      </c>
      <c r="C167" s="34">
        <f t="shared" si="38"/>
        <v>0</v>
      </c>
      <c r="D167" s="36">
        <f t="shared" si="38"/>
        <v>79117.936877329455</v>
      </c>
      <c r="E167" s="36">
        <f t="shared" si="38"/>
        <v>85449.530979702788</v>
      </c>
      <c r="F167" s="36">
        <f t="shared" si="38"/>
        <v>87845.748509041441</v>
      </c>
      <c r="G167" s="36">
        <f t="shared" si="38"/>
        <v>90719.508158236305</v>
      </c>
      <c r="H167" s="783">
        <f t="shared" si="38"/>
        <v>81222.211726417096</v>
      </c>
      <c r="J167" s="36">
        <f t="shared" si="38"/>
        <v>81222.211726417096</v>
      </c>
    </row>
    <row r="168" spans="1:10" s="788" customFormat="1" x14ac:dyDescent="0.6">
      <c r="A168" s="13" t="str">
        <f>A110</f>
        <v>Skipaumferð</v>
      </c>
      <c r="B168" s="16" t="str">
        <f t="shared" ref="B168:J168" si="39">B110</f>
        <v>tCO2Í</v>
      </c>
      <c r="C168" s="34">
        <f t="shared" si="39"/>
        <v>0</v>
      </c>
      <c r="D168" s="36">
        <f t="shared" si="39"/>
        <v>40017.414575000003</v>
      </c>
      <c r="E168" s="36">
        <f t="shared" si="39"/>
        <v>35952.374654999992</v>
      </c>
      <c r="F168" s="36">
        <f t="shared" si="39"/>
        <v>41527.022368999998</v>
      </c>
      <c r="G168" s="36">
        <f t="shared" si="39"/>
        <v>51073.751804799998</v>
      </c>
      <c r="H168" s="783">
        <f t="shared" si="39"/>
        <v>37572.295806000002</v>
      </c>
      <c r="J168" s="36">
        <f t="shared" si="39"/>
        <v>37572.295806000002</v>
      </c>
    </row>
    <row r="169" spans="1:10" s="788" customFormat="1" x14ac:dyDescent="0.6">
      <c r="A169" s="13" t="str">
        <f>A111</f>
        <v>Flugumferð</v>
      </c>
      <c r="B169" s="16" t="str">
        <f t="shared" ref="B169:J169" si="40">B111</f>
        <v>tCO2Í</v>
      </c>
      <c r="C169" s="34">
        <f t="shared" si="40"/>
        <v>0</v>
      </c>
      <c r="D169" s="36">
        <f t="shared" si="40"/>
        <v>5400.7160188601574</v>
      </c>
      <c r="E169" s="36">
        <f t="shared" si="40"/>
        <v>4792.3453956006551</v>
      </c>
      <c r="F169" s="36">
        <f t="shared" si="40"/>
        <v>7325.3866733465939</v>
      </c>
      <c r="G169" s="36">
        <f t="shared" si="40"/>
        <v>6937.1982702861123</v>
      </c>
      <c r="H169" s="783">
        <f t="shared" si="40"/>
        <v>4542.5582514083553</v>
      </c>
      <c r="J169" s="36">
        <f t="shared" si="40"/>
        <v>4542.5582514083553</v>
      </c>
    </row>
    <row r="170" spans="1:10" s="788" customFormat="1" x14ac:dyDescent="0.6">
      <c r="A170" s="13" t="str">
        <f t="shared" ref="A170:H172" si="41">A117</f>
        <v>Úrgangur</v>
      </c>
      <c r="B170" s="16" t="str">
        <f t="shared" si="41"/>
        <v>tCO2Í</v>
      </c>
      <c r="C170" s="34">
        <f t="shared" si="41"/>
        <v>0</v>
      </c>
      <c r="D170" s="36">
        <f t="shared" si="41"/>
        <v>60691.27033188018</v>
      </c>
      <c r="E170" s="36">
        <f t="shared" si="41"/>
        <v>69420.865648104111</v>
      </c>
      <c r="F170" s="36">
        <f t="shared" si="41"/>
        <v>69213.477570921124</v>
      </c>
      <c r="G170" s="36">
        <f t="shared" si="41"/>
        <v>62877.311993823729</v>
      </c>
      <c r="H170" s="783">
        <f t="shared" si="41"/>
        <v>52686.139488077053</v>
      </c>
      <c r="J170" s="36">
        <f>J117</f>
        <v>52686.139488077053</v>
      </c>
    </row>
    <row r="171" spans="1:10" s="788" customFormat="1" x14ac:dyDescent="0.6">
      <c r="A171" s="13" t="str">
        <f t="shared" si="41"/>
        <v>Búfjárrækt</v>
      </c>
      <c r="B171" s="16" t="str">
        <f t="shared" si="41"/>
        <v>tCO2Í</v>
      </c>
      <c r="C171" s="34">
        <f t="shared" si="41"/>
        <v>0</v>
      </c>
      <c r="D171" s="36">
        <f t="shared" si="41"/>
        <v>1829.6519397420795</v>
      </c>
      <c r="E171" s="36">
        <f t="shared" si="41"/>
        <v>2245.4398830453683</v>
      </c>
      <c r="F171" s="36">
        <f t="shared" si="41"/>
        <v>1691.624489923749</v>
      </c>
      <c r="G171" s="36">
        <f t="shared" si="41"/>
        <v>1710.0061987558634</v>
      </c>
      <c r="H171" s="783">
        <f t="shared" si="41"/>
        <v>2652.4245259230693</v>
      </c>
      <c r="J171" s="36">
        <f>J118</f>
        <v>2652.4245259230693</v>
      </c>
    </row>
    <row r="172" spans="1:10" s="788" customFormat="1" x14ac:dyDescent="0.6">
      <c r="A172" s="13" t="str">
        <f t="shared" si="41"/>
        <v>Landnotkun</v>
      </c>
      <c r="B172" s="16" t="str">
        <f t="shared" si="41"/>
        <v>tCO2Í</v>
      </c>
      <c r="C172" s="34">
        <f t="shared" si="41"/>
        <v>0</v>
      </c>
      <c r="D172" s="36">
        <f t="shared" si="41"/>
        <v>45422</v>
      </c>
      <c r="E172" s="36">
        <f t="shared" si="41"/>
        <v>45422</v>
      </c>
      <c r="F172" s="36">
        <f t="shared" si="41"/>
        <v>45422</v>
      </c>
      <c r="G172" s="36">
        <f t="shared" si="41"/>
        <v>45422</v>
      </c>
      <c r="H172" s="783">
        <f t="shared" si="41"/>
        <v>45422</v>
      </c>
      <c r="J172" s="36">
        <f>J119</f>
        <v>45422</v>
      </c>
    </row>
    <row r="173" spans="1:10" s="788" customFormat="1" x14ac:dyDescent="0.6">
      <c r="A173" s="13" t="str">
        <f t="shared" ref="A173:H173" si="42">A121</f>
        <v>Efnanotkun</v>
      </c>
      <c r="B173" s="16" t="str">
        <f t="shared" si="42"/>
        <v>tCO2Í</v>
      </c>
      <c r="C173" s="34">
        <f t="shared" si="42"/>
        <v>38772.753880475437</v>
      </c>
      <c r="D173" s="36">
        <f t="shared" si="42"/>
        <v>43175.957057550637</v>
      </c>
      <c r="E173" s="36">
        <f t="shared" si="42"/>
        <v>29740.913806741341</v>
      </c>
      <c r="F173" s="36">
        <f t="shared" si="42"/>
        <v>37270.15470262614</v>
      </c>
      <c r="G173" s="36">
        <f t="shared" si="42"/>
        <v>41052.331632446345</v>
      </c>
      <c r="H173" s="783">
        <f t="shared" si="42"/>
        <v>37093.38998472425</v>
      </c>
      <c r="J173" s="36">
        <f>J121</f>
        <v>37093.38998472425</v>
      </c>
    </row>
    <row r="174" spans="1:10" s="788" customFormat="1" x14ac:dyDescent="0.6">
      <c r="A174" s="13" t="str">
        <f>A122</f>
        <v>Byggingariðnaður</v>
      </c>
      <c r="B174" s="16" t="str">
        <f t="shared" ref="B174:H175" si="43">B122</f>
        <v>tCO2Í</v>
      </c>
      <c r="C174" s="34">
        <f t="shared" si="43"/>
        <v>3648.400000000001</v>
      </c>
      <c r="D174" s="36">
        <f t="shared" si="43"/>
        <v>4781</v>
      </c>
      <c r="E174" s="36">
        <f t="shared" si="43"/>
        <v>5574.8</v>
      </c>
      <c r="F174" s="36">
        <f t="shared" si="43"/>
        <v>6774.6</v>
      </c>
      <c r="G174" s="36">
        <f t="shared" si="43"/>
        <v>7123.2000000000007</v>
      </c>
      <c r="H174" s="783">
        <f t="shared" si="43"/>
        <v>7470.4000000000005</v>
      </c>
      <c r="J174" s="36">
        <f>J122</f>
        <v>7470.4000000000005</v>
      </c>
    </row>
    <row r="175" spans="1:10" s="788" customFormat="1" x14ac:dyDescent="0.6">
      <c r="A175" s="13" t="str">
        <f>A123</f>
        <v>Annar iðnaður</v>
      </c>
      <c r="B175" s="16" t="str">
        <f t="shared" si="43"/>
        <v>tCO2Í</v>
      </c>
      <c r="C175" s="34">
        <f t="shared" si="43"/>
        <v>0</v>
      </c>
      <c r="D175" s="36">
        <f t="shared" si="43"/>
        <v>9659.5869833909219</v>
      </c>
      <c r="E175" s="36">
        <f t="shared" si="43"/>
        <v>6159.1042089676639</v>
      </c>
      <c r="F175" s="36">
        <f t="shared" si="43"/>
        <v>9409.2299268187689</v>
      </c>
      <c r="G175" s="36">
        <f t="shared" si="43"/>
        <v>5347.5244483607521</v>
      </c>
      <c r="H175" s="783">
        <f t="shared" si="43"/>
        <v>7580.1675713473605</v>
      </c>
      <c r="J175" s="36">
        <f>J123</f>
        <v>7580.1675713473605</v>
      </c>
    </row>
    <row r="176" spans="1:10" s="788" customFormat="1" x14ac:dyDescent="0.6">
      <c r="A176" s="13" t="str">
        <f t="shared" ref="A176:H178" si="44">A125</f>
        <v>BASIC</v>
      </c>
      <c r="B176" s="16" t="str">
        <f t="shared" si="44"/>
        <v>tCO2Í</v>
      </c>
      <c r="C176" s="34">
        <f t="shared" si="44"/>
        <v>0</v>
      </c>
      <c r="D176" s="36">
        <f t="shared" si="44"/>
        <v>441341.94261458382</v>
      </c>
      <c r="E176" s="36">
        <f t="shared" si="44"/>
        <v>469781.04198926548</v>
      </c>
      <c r="F176" s="36">
        <f t="shared" si="44"/>
        <v>485211.08940230665</v>
      </c>
      <c r="G176" s="36">
        <f t="shared" si="44"/>
        <v>493523.55139576521</v>
      </c>
      <c r="H176" s="783">
        <f t="shared" si="44"/>
        <v>434079.08773527306</v>
      </c>
      <c r="J176" s="36">
        <f>J125</f>
        <v>434079.08773527306</v>
      </c>
    </row>
    <row r="177" spans="1:10" s="788" customFormat="1" x14ac:dyDescent="0.6">
      <c r="A177" s="13" t="str">
        <f t="shared" si="44"/>
        <v>BASIC+</v>
      </c>
      <c r="B177" s="16" t="str">
        <f t="shared" si="44"/>
        <v>tCO2Í</v>
      </c>
      <c r="C177" s="34">
        <f t="shared" si="44"/>
        <v>0</v>
      </c>
      <c r="D177" s="36">
        <f t="shared" si="44"/>
        <v>531769.55161187658</v>
      </c>
      <c r="E177" s="36">
        <f t="shared" si="44"/>
        <v>547189.39567905222</v>
      </c>
      <c r="F177" s="36">
        <f t="shared" si="44"/>
        <v>569836.79643159604</v>
      </c>
      <c r="G177" s="36">
        <f t="shared" si="44"/>
        <v>581931.92008415901</v>
      </c>
      <c r="H177" s="783">
        <f t="shared" si="44"/>
        <v>519540.32962191396</v>
      </c>
      <c r="J177" s="36">
        <f>J126</f>
        <v>519540.32962191396</v>
      </c>
    </row>
    <row r="178" spans="1:10" s="788" customFormat="1" x14ac:dyDescent="0.6">
      <c r="A178" s="13" t="str">
        <f t="shared" si="44"/>
        <v>BASIC+ S3</v>
      </c>
      <c r="B178" s="16" t="str">
        <f t="shared" si="44"/>
        <v>tCO2Í</v>
      </c>
      <c r="C178" s="34">
        <f t="shared" si="44"/>
        <v>0</v>
      </c>
      <c r="D178" s="36">
        <f t="shared" si="44"/>
        <v>546210.13859526755</v>
      </c>
      <c r="E178" s="36">
        <f t="shared" si="44"/>
        <v>558923.29988801992</v>
      </c>
      <c r="F178" s="36">
        <f t="shared" si="44"/>
        <v>586262.55419515423</v>
      </c>
      <c r="G178" s="36">
        <f t="shared" si="44"/>
        <v>594626.67538971128</v>
      </c>
      <c r="H178" s="783">
        <f t="shared" si="44"/>
        <v>534884.32456925488</v>
      </c>
      <c r="J178" s="36">
        <f>J127</f>
        <v>534884.32456925488</v>
      </c>
    </row>
    <row r="179" spans="1:10" x14ac:dyDescent="0.6">
      <c r="A179" s="1"/>
      <c r="B179" s="2"/>
      <c r="C179" s="3"/>
      <c r="D179" s="3"/>
      <c r="E179" s="3"/>
      <c r="F179" s="3"/>
      <c r="G179" s="3"/>
      <c r="H179" s="3"/>
    </row>
    <row r="180" spans="1:10" x14ac:dyDescent="0.6">
      <c r="A180" s="1"/>
      <c r="B180" s="2"/>
      <c r="C180" s="3"/>
      <c r="D180" s="3"/>
      <c r="E180" s="3"/>
      <c r="F180" s="3"/>
      <c r="G180" s="3"/>
      <c r="H180" s="3"/>
    </row>
    <row r="181" spans="1:10" x14ac:dyDescent="0.6">
      <c r="A181" s="1"/>
      <c r="B181" s="2"/>
      <c r="C181" s="3"/>
      <c r="D181" s="3"/>
      <c r="E181" s="3"/>
      <c r="F181" s="3"/>
      <c r="G181" s="3"/>
      <c r="H181" s="3"/>
    </row>
    <row r="182" spans="1:10" x14ac:dyDescent="0.6">
      <c r="A182" s="1"/>
      <c r="B182" s="2"/>
      <c r="C182" s="3"/>
      <c r="D182" s="3"/>
      <c r="E182" s="3"/>
      <c r="F182" s="3"/>
      <c r="G182" s="3"/>
      <c r="H182" s="3"/>
    </row>
    <row r="183" spans="1:10" x14ac:dyDescent="0.6">
      <c r="A183" s="1"/>
      <c r="B183" s="2"/>
      <c r="C183" s="3"/>
      <c r="D183" s="3"/>
      <c r="E183" s="3"/>
      <c r="F183" s="3"/>
      <c r="G183" s="3"/>
      <c r="H183" s="3"/>
    </row>
    <row r="184" spans="1:10" x14ac:dyDescent="0.6">
      <c r="A184" s="1"/>
      <c r="B184" s="2"/>
      <c r="C184" s="3"/>
      <c r="D184" s="3"/>
      <c r="E184" s="3"/>
      <c r="F184" s="3"/>
      <c r="G184" s="3"/>
      <c r="H184" s="3"/>
    </row>
    <row r="185" spans="1:10" x14ac:dyDescent="0.6">
      <c r="A185" s="1"/>
      <c r="B185" s="2"/>
      <c r="C185" s="3"/>
      <c r="D185" s="3"/>
      <c r="E185" s="3"/>
      <c r="F185" s="3"/>
      <c r="G185" s="3"/>
      <c r="H185" s="3"/>
    </row>
    <row r="186" spans="1:10" x14ac:dyDescent="0.6">
      <c r="A186" s="1"/>
      <c r="B186" s="2"/>
      <c r="C186" s="3"/>
      <c r="D186" s="3"/>
      <c r="E186" s="3"/>
      <c r="F186" s="3"/>
      <c r="G186" s="3"/>
      <c r="H186" s="3"/>
    </row>
    <row r="187" spans="1:10" x14ac:dyDescent="0.6">
      <c r="A187" s="1"/>
      <c r="B187" s="2"/>
      <c r="C187" s="3"/>
      <c r="D187" s="3"/>
      <c r="E187" s="3"/>
      <c r="F187" s="3"/>
      <c r="G187" s="3"/>
      <c r="H187" s="3"/>
    </row>
    <row r="188" spans="1:10" x14ac:dyDescent="0.6">
      <c r="A188" s="1"/>
      <c r="B188" s="2"/>
      <c r="C188" s="3"/>
      <c r="D188" s="3"/>
      <c r="E188" s="3"/>
      <c r="F188" s="3"/>
      <c r="G188" s="3"/>
      <c r="H188" s="3"/>
    </row>
    <row r="189" spans="1:10" x14ac:dyDescent="0.6">
      <c r="A189" s="1"/>
      <c r="B189" s="2"/>
      <c r="C189" s="3"/>
      <c r="D189" s="3"/>
      <c r="E189" s="3"/>
      <c r="F189" s="3"/>
      <c r="G189" s="3"/>
      <c r="H189" s="3"/>
    </row>
    <row r="190" spans="1:10" x14ac:dyDescent="0.6">
      <c r="A190" s="1"/>
      <c r="B190" s="2"/>
      <c r="C190" s="3"/>
      <c r="D190" s="3"/>
      <c r="E190" s="3"/>
      <c r="F190" s="3"/>
      <c r="G190" s="3"/>
      <c r="H190" s="3"/>
    </row>
    <row r="191" spans="1:10" x14ac:dyDescent="0.6">
      <c r="A191" s="1"/>
      <c r="B191" s="2"/>
      <c r="C191" s="3"/>
      <c r="D191" s="3"/>
      <c r="E191" s="3"/>
      <c r="F191" s="3"/>
      <c r="G191" s="3"/>
      <c r="H191" s="3"/>
    </row>
    <row r="192" spans="1:10" x14ac:dyDescent="0.6">
      <c r="A192" s="1"/>
      <c r="B192" s="2"/>
      <c r="C192" s="3"/>
      <c r="D192" s="3"/>
      <c r="E192" s="3"/>
      <c r="F192" s="3"/>
      <c r="G192" s="3"/>
      <c r="H192" s="3"/>
    </row>
    <row r="193" spans="1:8" x14ac:dyDescent="0.6">
      <c r="A193" s="1"/>
      <c r="B193" s="2"/>
      <c r="C193" s="3"/>
      <c r="D193" s="3"/>
      <c r="E193" s="3"/>
      <c r="F193" s="3"/>
      <c r="G193" s="3"/>
      <c r="H193" s="3"/>
    </row>
    <row r="194" spans="1:8" x14ac:dyDescent="0.6">
      <c r="A194" s="1"/>
      <c r="B194" s="2"/>
      <c r="C194" s="3"/>
      <c r="D194" s="3"/>
      <c r="E194" s="3"/>
      <c r="F194" s="3"/>
      <c r="G194" s="3"/>
      <c r="H194" s="3"/>
    </row>
    <row r="195" spans="1:8" x14ac:dyDescent="0.6">
      <c r="A195" s="1"/>
      <c r="B195" s="2"/>
      <c r="C195" s="3"/>
      <c r="D195" s="3"/>
      <c r="E195" s="3"/>
      <c r="F195" s="3"/>
      <c r="G195" s="3"/>
      <c r="H195" s="3"/>
    </row>
    <row r="196" spans="1:8" x14ac:dyDescent="0.6">
      <c r="A196" s="1"/>
      <c r="B196" s="2"/>
      <c r="C196" s="3"/>
      <c r="D196" s="3"/>
      <c r="E196" s="3"/>
      <c r="F196" s="3"/>
      <c r="G196" s="3"/>
      <c r="H196" s="3"/>
    </row>
    <row r="197" spans="1:8" x14ac:dyDescent="0.6">
      <c r="A197" s="1"/>
      <c r="B197" s="2"/>
      <c r="C197" s="3"/>
      <c r="D197" s="3"/>
      <c r="E197" s="3"/>
      <c r="F197" s="3"/>
      <c r="G197" s="3"/>
      <c r="H197" s="3"/>
    </row>
    <row r="198" spans="1:8" x14ac:dyDescent="0.6">
      <c r="A198" s="1"/>
      <c r="B198" s="2"/>
      <c r="C198" s="3"/>
      <c r="D198" s="3"/>
      <c r="E198" s="3"/>
      <c r="F198" s="3"/>
      <c r="G198" s="3"/>
      <c r="H198" s="3"/>
    </row>
    <row r="199" spans="1:8" x14ac:dyDescent="0.6">
      <c r="A199" s="1"/>
      <c r="B199" s="2"/>
      <c r="C199" s="3"/>
      <c r="D199" s="3"/>
      <c r="E199" s="3"/>
      <c r="F199" s="3"/>
      <c r="G199" s="3"/>
      <c r="H199" s="3"/>
    </row>
    <row r="200" spans="1:8" x14ac:dyDescent="0.6">
      <c r="A200" s="1"/>
      <c r="B200" s="2"/>
      <c r="C200" s="3"/>
      <c r="D200" s="3"/>
      <c r="E200" s="3"/>
      <c r="F200" s="3"/>
      <c r="G200" s="3"/>
      <c r="H200" s="3"/>
    </row>
    <row r="201" spans="1:8" x14ac:dyDescent="0.6">
      <c r="A201" s="1"/>
      <c r="B201" s="2"/>
      <c r="C201" s="3"/>
      <c r="D201" s="3"/>
      <c r="E201" s="3"/>
      <c r="F201" s="3"/>
      <c r="G201" s="3"/>
      <c r="H201" s="3"/>
    </row>
    <row r="202" spans="1:8" x14ac:dyDescent="0.6">
      <c r="A202" s="1"/>
      <c r="B202" s="2"/>
      <c r="C202" s="3"/>
      <c r="D202" s="3"/>
      <c r="E202" s="3"/>
      <c r="F202" s="3"/>
      <c r="G202" s="3"/>
      <c r="H202" s="3"/>
    </row>
    <row r="203" spans="1:8" x14ac:dyDescent="0.6">
      <c r="A203" s="1"/>
      <c r="B203" s="2"/>
      <c r="C203" s="3"/>
      <c r="D203" s="3"/>
      <c r="E203" s="3"/>
      <c r="F203" s="3"/>
      <c r="G203" s="3"/>
      <c r="H203" s="3"/>
    </row>
    <row r="204" spans="1:8" x14ac:dyDescent="0.6">
      <c r="A204" s="1"/>
      <c r="B204" s="2"/>
      <c r="C204" s="3"/>
      <c r="D204" s="3"/>
      <c r="E204" s="3"/>
      <c r="F204" s="3"/>
      <c r="G204" s="3"/>
      <c r="H204" s="3"/>
    </row>
    <row r="205" spans="1:8" x14ac:dyDescent="0.6">
      <c r="A205" s="1"/>
      <c r="B205" s="2"/>
      <c r="C205" s="3"/>
      <c r="D205" s="3"/>
      <c r="E205" s="3"/>
      <c r="F205" s="3"/>
      <c r="G205" s="3"/>
      <c r="H205" s="3"/>
    </row>
    <row r="206" spans="1:8" x14ac:dyDescent="0.6">
      <c r="A206" s="1"/>
      <c r="B206" s="2"/>
      <c r="C206" s="3"/>
      <c r="D206" s="3"/>
      <c r="E206" s="3"/>
      <c r="F206" s="3"/>
      <c r="G206" s="3"/>
      <c r="H206" s="3"/>
    </row>
    <row r="207" spans="1:8" x14ac:dyDescent="0.6">
      <c r="A207" s="1"/>
      <c r="B207" s="2"/>
      <c r="C207" s="3"/>
      <c r="D207" s="3"/>
      <c r="E207" s="3"/>
      <c r="F207" s="3"/>
      <c r="G207" s="3"/>
      <c r="H207" s="3"/>
    </row>
    <row r="208" spans="1:8" x14ac:dyDescent="0.6">
      <c r="A208" s="1"/>
      <c r="B208" s="2"/>
      <c r="C208" s="3"/>
      <c r="D208" s="3"/>
      <c r="E208" s="3"/>
      <c r="F208" s="3"/>
      <c r="G208" s="3"/>
      <c r="H208" s="3"/>
    </row>
    <row r="209" spans="1:8" x14ac:dyDescent="0.6">
      <c r="A209" s="1"/>
      <c r="B209" s="2"/>
      <c r="C209" s="3"/>
      <c r="D209" s="3"/>
      <c r="E209" s="3"/>
      <c r="F209" s="3"/>
      <c r="G209" s="3"/>
      <c r="H209" s="3"/>
    </row>
    <row r="210" spans="1:8" x14ac:dyDescent="0.6">
      <c r="A210" s="1"/>
      <c r="B210" s="2"/>
      <c r="C210" s="3"/>
      <c r="D210" s="3"/>
      <c r="E210" s="3"/>
      <c r="F210" s="3"/>
      <c r="G210" s="3"/>
      <c r="H210" s="3"/>
    </row>
    <row r="211" spans="1:8" x14ac:dyDescent="0.6">
      <c r="A211" s="1"/>
      <c r="B211" s="2"/>
      <c r="C211" s="3"/>
      <c r="D211" s="3"/>
      <c r="E211" s="3"/>
      <c r="F211" s="3"/>
      <c r="G211" s="3"/>
      <c r="H211" s="3"/>
    </row>
    <row r="212" spans="1:8" x14ac:dyDescent="0.6">
      <c r="A212" s="1"/>
      <c r="B212" s="2"/>
      <c r="C212" s="3"/>
      <c r="D212" s="3"/>
      <c r="E212" s="3"/>
      <c r="F212" s="3"/>
      <c r="G212" s="3"/>
      <c r="H212" s="3"/>
    </row>
    <row r="213" spans="1:8" x14ac:dyDescent="0.6">
      <c r="A213" s="1"/>
      <c r="B213" s="2"/>
      <c r="C213" s="3"/>
      <c r="D213" s="3"/>
      <c r="E213" s="3"/>
      <c r="F213" s="3"/>
      <c r="G213" s="3"/>
      <c r="H213" s="3"/>
    </row>
    <row r="214" spans="1:8" x14ac:dyDescent="0.6">
      <c r="A214" s="1"/>
      <c r="B214" s="2"/>
      <c r="C214" s="3"/>
      <c r="D214" s="3"/>
      <c r="E214" s="3"/>
      <c r="F214" s="3"/>
      <c r="G214" s="3"/>
      <c r="H214" s="3"/>
    </row>
    <row r="215" spans="1:8" x14ac:dyDescent="0.6">
      <c r="A215" s="1"/>
      <c r="B215" s="2"/>
      <c r="C215" s="3"/>
      <c r="D215" s="3"/>
      <c r="E215" s="3"/>
      <c r="F215" s="3"/>
      <c r="G215" s="3"/>
      <c r="H215" s="3"/>
    </row>
    <row r="216" spans="1:8" x14ac:dyDescent="0.6">
      <c r="A216" s="1"/>
      <c r="B216" s="2"/>
      <c r="C216" s="3"/>
      <c r="D216" s="3"/>
      <c r="E216" s="3"/>
      <c r="F216" s="3"/>
      <c r="G216" s="3"/>
      <c r="H216" s="3"/>
    </row>
    <row r="217" spans="1:8" x14ac:dyDescent="0.6">
      <c r="A217" s="1"/>
      <c r="B217" s="2"/>
      <c r="C217" s="3"/>
      <c r="D217" s="3"/>
      <c r="E217" s="3"/>
      <c r="F217" s="3"/>
      <c r="G217" s="3"/>
      <c r="H217" s="3"/>
    </row>
    <row r="218" spans="1:8" x14ac:dyDescent="0.6">
      <c r="A218" s="1"/>
      <c r="B218" s="2"/>
      <c r="C218" s="3"/>
      <c r="D218" s="3"/>
      <c r="E218" s="3"/>
      <c r="F218" s="3"/>
      <c r="G218" s="3"/>
      <c r="H218" s="3"/>
    </row>
    <row r="219" spans="1:8" x14ac:dyDescent="0.6">
      <c r="A219" s="1"/>
      <c r="B219" s="2"/>
      <c r="C219" s="3"/>
      <c r="D219" s="3"/>
      <c r="E219" s="3"/>
      <c r="F219" s="3"/>
      <c r="G219" s="3"/>
      <c r="H219" s="3"/>
    </row>
    <row r="220" spans="1:8" x14ac:dyDescent="0.6">
      <c r="A220" s="1"/>
      <c r="B220" s="2"/>
      <c r="C220" s="3"/>
      <c r="D220" s="3"/>
      <c r="E220" s="3"/>
      <c r="F220" s="3"/>
      <c r="G220" s="3"/>
      <c r="H220" s="3"/>
    </row>
    <row r="221" spans="1:8" x14ac:dyDescent="0.6">
      <c r="A221" s="1"/>
      <c r="B221" s="2"/>
      <c r="C221" s="3"/>
      <c r="D221" s="3"/>
      <c r="E221" s="3"/>
      <c r="F221" s="3"/>
      <c r="G221" s="3"/>
      <c r="H221" s="3"/>
    </row>
    <row r="222" spans="1:8" x14ac:dyDescent="0.6">
      <c r="A222" s="1"/>
      <c r="B222" s="2"/>
      <c r="C222" s="3"/>
      <c r="D222" s="3"/>
      <c r="E222" s="3"/>
      <c r="F222" s="3"/>
      <c r="G222" s="3"/>
      <c r="H222" s="3"/>
    </row>
    <row r="223" spans="1:8" x14ac:dyDescent="0.6">
      <c r="A223" s="1"/>
      <c r="B223" s="2"/>
      <c r="C223" s="3"/>
      <c r="D223" s="3"/>
      <c r="E223" s="3"/>
      <c r="F223" s="3"/>
      <c r="G223" s="3"/>
      <c r="H223" s="3"/>
    </row>
    <row r="224" spans="1:8" x14ac:dyDescent="0.6">
      <c r="A224" s="1"/>
      <c r="B224" s="2"/>
      <c r="C224" s="3"/>
      <c r="D224" s="3"/>
      <c r="E224" s="3"/>
      <c r="F224" s="3"/>
      <c r="G224" s="3"/>
      <c r="H224" s="3"/>
    </row>
    <row r="225" spans="1:8" x14ac:dyDescent="0.6">
      <c r="A225" s="1"/>
      <c r="B225" s="2"/>
      <c r="C225" s="3"/>
      <c r="D225" s="3"/>
      <c r="E225" s="3"/>
      <c r="F225" s="3"/>
      <c r="G225" s="3"/>
      <c r="H225" s="3"/>
    </row>
    <row r="226" spans="1:8" x14ac:dyDescent="0.6">
      <c r="A226" s="1"/>
      <c r="B226" s="2"/>
      <c r="C226" s="3"/>
      <c r="D226" s="3"/>
      <c r="E226" s="3"/>
      <c r="F226" s="3"/>
      <c r="G226" s="3"/>
      <c r="H226" s="3"/>
    </row>
    <row r="227" spans="1:8" x14ac:dyDescent="0.6">
      <c r="A227" s="1"/>
      <c r="B227" s="2"/>
      <c r="C227" s="3"/>
      <c r="D227" s="3"/>
      <c r="E227" s="3"/>
      <c r="F227" s="3"/>
      <c r="G227" s="3"/>
      <c r="H227" s="3"/>
    </row>
    <row r="228" spans="1:8" x14ac:dyDescent="0.6">
      <c r="A228" s="1"/>
      <c r="B228" s="2"/>
      <c r="C228" s="3"/>
      <c r="D228" s="3"/>
      <c r="E228" s="3"/>
      <c r="F228" s="3"/>
      <c r="G228" s="3"/>
      <c r="H228" s="3"/>
    </row>
  </sheetData>
  <hyperlinks>
    <hyperlink ref="J24" r:id="rId1" xr:uid="{933FBAF7-D9C5-4F99-A8B0-F267FFF1265C}"/>
    <hyperlink ref="J55" r:id="rId2" xr:uid="{783307DB-92CA-4640-AEAB-770877F1C0D7}"/>
  </hyperlinks>
  <pageMargins left="0.7" right="0.7" top="0.75" bottom="0.75" header="0.3" footer="0.3"/>
  <pageSetup paperSize="9" orientation="portrait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6962-8373-4E6E-B212-39FFE7E8774A}">
  <dimension ref="A1:S34"/>
  <sheetViews>
    <sheetView zoomScale="80" zoomScaleNormal="80" workbookViewId="0">
      <selection activeCell="J25" sqref="J25:J27"/>
    </sheetView>
  </sheetViews>
  <sheetFormatPr defaultRowHeight="13" x14ac:dyDescent="0.6"/>
  <cols>
    <col min="3" max="3" width="15" customWidth="1"/>
    <col min="4" max="4" width="13.26953125" customWidth="1"/>
    <col min="5" max="5" width="10.86328125" customWidth="1"/>
    <col min="6" max="6" width="12" customWidth="1"/>
    <col min="7" max="7" width="13.7265625" customWidth="1"/>
    <col min="8" max="8" width="13.86328125" customWidth="1"/>
    <col min="9" max="9" width="12.7265625" customWidth="1"/>
    <col min="10" max="10" width="12.1328125" customWidth="1"/>
    <col min="11" max="11" width="24.26953125" customWidth="1"/>
    <col min="12" max="12" width="26.40625" customWidth="1"/>
    <col min="17" max="18" width="13.40625" customWidth="1"/>
    <col min="19" max="19" width="14.1328125" customWidth="1"/>
  </cols>
  <sheetData>
    <row r="1" spans="1:19" ht="21.25" thickBot="1" x14ac:dyDescent="1.05">
      <c r="A1" s="50"/>
      <c r="B1" s="51" t="s">
        <v>80</v>
      </c>
      <c r="C1" s="51"/>
      <c r="D1" s="50"/>
      <c r="E1" s="50"/>
      <c r="F1" s="50"/>
      <c r="G1" s="50"/>
      <c r="H1" s="50"/>
      <c r="I1" s="50"/>
      <c r="J1" s="50"/>
      <c r="K1" s="50"/>
      <c r="L1" s="50"/>
    </row>
    <row r="2" spans="1:19" ht="14.5" x14ac:dyDescent="0.7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83" t="s">
        <v>114</v>
      </c>
      <c r="Q2" s="84">
        <v>2018</v>
      </c>
      <c r="R2" s="85">
        <v>2019</v>
      </c>
      <c r="S2" s="86">
        <v>2020</v>
      </c>
    </row>
    <row r="3" spans="1:19" ht="15.25" thickBot="1" x14ac:dyDescent="0.85">
      <c r="A3" s="50"/>
      <c r="B3" s="52"/>
      <c r="C3" s="50" t="s">
        <v>81</v>
      </c>
      <c r="D3" s="50"/>
      <c r="E3" s="50"/>
      <c r="F3" s="50"/>
      <c r="G3" s="50"/>
      <c r="H3" s="50"/>
      <c r="I3" s="50"/>
      <c r="J3" s="50"/>
      <c r="K3" s="50"/>
      <c r="L3" s="50"/>
      <c r="P3" s="87"/>
      <c r="Q3" s="88" t="s">
        <v>68</v>
      </c>
      <c r="R3" s="89" t="s">
        <v>68</v>
      </c>
      <c r="S3" s="90" t="s">
        <v>68</v>
      </c>
    </row>
    <row r="4" spans="1:19" x14ac:dyDescent="0.6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P4" s="91" t="s">
        <v>115</v>
      </c>
      <c r="Q4" s="92">
        <v>792968429</v>
      </c>
      <c r="R4" s="93">
        <v>784052813</v>
      </c>
      <c r="S4" s="94">
        <v>756080790</v>
      </c>
    </row>
    <row r="5" spans="1:19" ht="13.75" thickBot="1" x14ac:dyDescent="0.7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P5" s="95" t="s">
        <v>116</v>
      </c>
      <c r="Q5" s="96">
        <v>11589116</v>
      </c>
      <c r="R5" s="97">
        <v>12540999</v>
      </c>
      <c r="S5" s="98">
        <v>13820892</v>
      </c>
    </row>
    <row r="6" spans="1:19" ht="18" x14ac:dyDescent="0.8">
      <c r="A6" s="50"/>
      <c r="B6" s="50"/>
      <c r="C6" s="53" t="s">
        <v>67</v>
      </c>
      <c r="D6" s="50"/>
      <c r="E6" s="50"/>
      <c r="F6" s="50"/>
      <c r="G6" s="50"/>
      <c r="H6" s="50"/>
      <c r="I6" s="50"/>
      <c r="J6" s="50"/>
      <c r="K6" s="50"/>
      <c r="L6" s="50"/>
      <c r="P6" s="91" t="s">
        <v>117</v>
      </c>
      <c r="Q6" s="92">
        <f>Q4+Q5</f>
        <v>804557545</v>
      </c>
      <c r="R6" s="93">
        <f>R4+R5</f>
        <v>796593812</v>
      </c>
      <c r="S6" s="94">
        <f>S4+S5</f>
        <v>769901682</v>
      </c>
    </row>
    <row r="7" spans="1:19" ht="15.25" thickBot="1" x14ac:dyDescent="0.85">
      <c r="A7" s="50"/>
      <c r="B7" s="50"/>
      <c r="C7" s="50"/>
      <c r="D7" s="811" t="s">
        <v>82</v>
      </c>
      <c r="E7" s="811"/>
      <c r="F7" s="811"/>
      <c r="G7" s="54"/>
      <c r="H7" s="50"/>
      <c r="I7" s="50"/>
      <c r="J7" s="50"/>
      <c r="K7" s="50"/>
      <c r="L7" s="50"/>
      <c r="P7" s="99" t="s">
        <v>118</v>
      </c>
      <c r="Q7" s="100">
        <f>Q14/Q13*Q6</f>
        <v>30623776.80246878</v>
      </c>
      <c r="R7" s="101">
        <f>R14/R13*R6</f>
        <v>28003857.148948714</v>
      </c>
      <c r="S7" s="102">
        <f>S14/S13*S6</f>
        <v>35352695.902842365</v>
      </c>
    </row>
    <row r="8" spans="1:19" ht="15.25" thickBot="1" x14ac:dyDescent="0.85">
      <c r="A8" s="50"/>
      <c r="B8" s="50"/>
      <c r="C8" s="55" t="s">
        <v>83</v>
      </c>
      <c r="D8" s="55" t="s">
        <v>84</v>
      </c>
      <c r="E8" s="55" t="s">
        <v>85</v>
      </c>
      <c r="F8" s="55" t="s">
        <v>86</v>
      </c>
      <c r="G8" s="55" t="s">
        <v>87</v>
      </c>
      <c r="H8" s="55" t="s">
        <v>88</v>
      </c>
      <c r="I8" s="55" t="s">
        <v>89</v>
      </c>
      <c r="J8" s="55" t="s">
        <v>90</v>
      </c>
      <c r="K8" s="56" t="s">
        <v>91</v>
      </c>
      <c r="L8" s="57"/>
      <c r="P8" s="103" t="s">
        <v>79</v>
      </c>
      <c r="Q8" s="104">
        <f>Q6+Q7</f>
        <v>835181321.80246878</v>
      </c>
      <c r="R8" s="105">
        <f>R6+R7</f>
        <v>824597669.14894867</v>
      </c>
      <c r="S8" s="106">
        <f>S6+S7</f>
        <v>805254377.9028424</v>
      </c>
    </row>
    <row r="9" spans="1:19" ht="15.25" thickTop="1" x14ac:dyDescent="0.7">
      <c r="A9" s="58"/>
      <c r="B9" s="58"/>
      <c r="C9" s="61">
        <v>2019</v>
      </c>
      <c r="D9" s="62">
        <v>523.1</v>
      </c>
      <c r="E9" s="62">
        <v>447.8</v>
      </c>
      <c r="F9" s="63">
        <f>D9+E9</f>
        <v>970.90000000000009</v>
      </c>
      <c r="G9" s="64">
        <f>F9*1*10^6</f>
        <v>970900000.00000012</v>
      </c>
      <c r="H9" s="74">
        <v>8</v>
      </c>
      <c r="I9" s="64">
        <f>G9*$H$9</f>
        <v>7767200000.000001</v>
      </c>
      <c r="J9" s="64">
        <f>I9/(1000*1000)</f>
        <v>7767.2000000000007</v>
      </c>
      <c r="K9" s="59" t="s">
        <v>92</v>
      </c>
      <c r="L9" s="60"/>
      <c r="P9" s="107" t="s">
        <v>119</v>
      </c>
      <c r="Q9" s="108"/>
      <c r="R9" s="108"/>
      <c r="S9" s="108"/>
    </row>
    <row r="10" spans="1:19" ht="14.5" x14ac:dyDescent="0.7">
      <c r="A10" s="58"/>
      <c r="B10" s="58"/>
      <c r="C10" s="61">
        <v>2018</v>
      </c>
      <c r="D10" s="62">
        <v>494.8</v>
      </c>
      <c r="E10" s="62">
        <v>452.6</v>
      </c>
      <c r="F10" s="63">
        <f>D10+E10</f>
        <v>947.40000000000009</v>
      </c>
      <c r="G10" s="64">
        <f>F10*1*10^6</f>
        <v>947400000.00000012</v>
      </c>
      <c r="H10" s="74">
        <v>7.9</v>
      </c>
      <c r="I10" s="64">
        <f>G10*$H$10</f>
        <v>7484460000.000001</v>
      </c>
      <c r="J10" s="64">
        <f>I10/(1000*1000)</f>
        <v>7484.4600000000009</v>
      </c>
      <c r="K10" s="60" t="s">
        <v>92</v>
      </c>
      <c r="L10" s="60"/>
      <c r="P10" s="57"/>
      <c r="Q10" s="108"/>
      <c r="R10" s="108"/>
      <c r="S10" s="108"/>
    </row>
    <row r="11" spans="1:19" ht="14.25" x14ac:dyDescent="0.65">
      <c r="A11" s="58"/>
      <c r="B11" s="58"/>
      <c r="C11" s="61">
        <v>2017</v>
      </c>
      <c r="D11" s="62">
        <v>573.9</v>
      </c>
      <c r="E11" s="62">
        <v>511.5</v>
      </c>
      <c r="F11" s="63">
        <f>D11+E11</f>
        <v>1085.4000000000001</v>
      </c>
      <c r="G11" s="64">
        <f>F11*1*10^6</f>
        <v>1085400000</v>
      </c>
      <c r="H11" s="75">
        <v>8.1</v>
      </c>
      <c r="I11" s="64">
        <f>G11*$H$11</f>
        <v>8791740000</v>
      </c>
      <c r="J11" s="64">
        <f>I11/(1000*1000)</f>
        <v>8791.74</v>
      </c>
      <c r="K11" s="60" t="s">
        <v>92</v>
      </c>
      <c r="L11" s="60"/>
      <c r="P11" s="109"/>
      <c r="Q11" s="110"/>
      <c r="R11" s="110"/>
      <c r="S11" s="110"/>
    </row>
    <row r="12" spans="1:19" ht="15.25" thickBot="1" x14ac:dyDescent="0.85">
      <c r="A12" s="58"/>
      <c r="B12" s="58"/>
      <c r="C12" s="61">
        <v>2016</v>
      </c>
      <c r="D12" s="62">
        <v>512</v>
      </c>
      <c r="E12" s="62">
        <v>471.2</v>
      </c>
      <c r="F12" s="63">
        <f>D12+E12</f>
        <v>983.2</v>
      </c>
      <c r="G12" s="64">
        <f>F12*1*10^6</f>
        <v>983200000</v>
      </c>
      <c r="H12" s="73">
        <v>8.9</v>
      </c>
      <c r="I12" s="64">
        <f>G12*$H$12</f>
        <v>8750480000</v>
      </c>
      <c r="J12" s="64">
        <f>I12/(1000*1000)</f>
        <v>8750.48</v>
      </c>
      <c r="K12" s="60" t="s">
        <v>92</v>
      </c>
      <c r="L12" s="60"/>
      <c r="P12" s="111" t="s">
        <v>120</v>
      </c>
      <c r="Q12" s="112"/>
      <c r="R12" s="112"/>
      <c r="S12" s="112"/>
    </row>
    <row r="13" spans="1:19" ht="14.25" x14ac:dyDescent="0.65">
      <c r="A13" s="58"/>
      <c r="B13" s="58"/>
      <c r="C13" s="61"/>
      <c r="D13" s="62"/>
      <c r="E13" s="62"/>
      <c r="F13" s="66"/>
      <c r="G13" s="64"/>
      <c r="H13" s="67"/>
      <c r="I13" s="64"/>
      <c r="J13" s="65"/>
      <c r="K13" s="68"/>
      <c r="L13" s="60"/>
      <c r="P13" s="91" t="s">
        <v>121</v>
      </c>
      <c r="Q13" s="92">
        <v>1126269152</v>
      </c>
      <c r="R13" s="93">
        <v>1107024245</v>
      </c>
      <c r="S13" s="94">
        <v>1073651628</v>
      </c>
    </row>
    <row r="14" spans="1:19" s="46" customFormat="1" ht="15" thickBot="1" x14ac:dyDescent="0.8">
      <c r="A14" s="58"/>
      <c r="B14" s="58"/>
      <c r="C14" s="61"/>
      <c r="D14" s="55" t="s">
        <v>98</v>
      </c>
      <c r="E14" s="55" t="s">
        <v>99</v>
      </c>
      <c r="F14" s="55" t="s">
        <v>100</v>
      </c>
      <c r="G14" s="55" t="s">
        <v>87</v>
      </c>
      <c r="H14" s="55" t="s">
        <v>88</v>
      </c>
      <c r="I14" s="55" t="s">
        <v>89</v>
      </c>
      <c r="J14" s="55" t="s">
        <v>90</v>
      </c>
      <c r="K14" s="68"/>
      <c r="L14" s="60" t="s">
        <v>624</v>
      </c>
      <c r="P14" s="95" t="s">
        <v>122</v>
      </c>
      <c r="Q14" s="96">
        <v>42869046.899999902</v>
      </c>
      <c r="R14" s="97">
        <v>38916883.799999699</v>
      </c>
      <c r="S14" s="98">
        <v>49300424.194002002</v>
      </c>
    </row>
    <row r="15" spans="1:19" s="46" customFormat="1" ht="15" thickTop="1" x14ac:dyDescent="0.65">
      <c r="A15" s="58"/>
      <c r="B15" s="58"/>
      <c r="C15" s="61">
        <v>2020</v>
      </c>
      <c r="D15" s="64">
        <f>S4</f>
        <v>756080790</v>
      </c>
      <c r="E15" s="64">
        <f>S5</f>
        <v>13820892</v>
      </c>
      <c r="F15" s="64">
        <f>S6</f>
        <v>769901682</v>
      </c>
      <c r="G15" s="64">
        <f>S8</f>
        <v>805254377.9028424</v>
      </c>
      <c r="H15" s="73">
        <v>8.3000000000000007</v>
      </c>
      <c r="I15" s="64">
        <f>G15*$H15</f>
        <v>6683611336.5935926</v>
      </c>
      <c r="J15" s="64">
        <f>I15/(1000*1000)</f>
        <v>6683.6113365935926</v>
      </c>
      <c r="K15" s="68"/>
      <c r="L15" s="800">
        <f>H15*S7/10^6</f>
        <v>293.42737599359168</v>
      </c>
      <c r="M15" s="36">
        <f>J15-L15</f>
        <v>6390.1839606000012</v>
      </c>
      <c r="P15" s="91" t="s">
        <v>123</v>
      </c>
      <c r="Q15" s="92">
        <f>Q13+Q14</f>
        <v>1169138198.8999999</v>
      </c>
      <c r="R15" s="93">
        <f>R13+R14</f>
        <v>1145941128.7999997</v>
      </c>
      <c r="S15" s="94">
        <f>S13+S14</f>
        <v>1122952052.1940019</v>
      </c>
    </row>
    <row r="16" spans="1:19" ht="15" thickBot="1" x14ac:dyDescent="0.8">
      <c r="A16" s="58"/>
      <c r="B16" s="58"/>
      <c r="C16" s="61">
        <v>2019</v>
      </c>
      <c r="D16" s="64">
        <f>R4</f>
        <v>784052813</v>
      </c>
      <c r="E16" s="64">
        <f>R5</f>
        <v>12540999</v>
      </c>
      <c r="F16" s="64">
        <f>R6</f>
        <v>796593812</v>
      </c>
      <c r="G16" s="64">
        <f>R8</f>
        <v>824597669.14894867</v>
      </c>
      <c r="H16" s="73">
        <v>8</v>
      </c>
      <c r="I16" s="64">
        <f>G16*$H16</f>
        <v>6596781353.1915894</v>
      </c>
      <c r="J16" s="64">
        <f>I16/(1000*1000)</f>
        <v>6596.781353191589</v>
      </c>
      <c r="K16" s="68"/>
      <c r="L16" s="800">
        <f>H16*R7/10^6</f>
        <v>224.03085719158972</v>
      </c>
      <c r="M16" s="36">
        <f>J16-L16</f>
        <v>6372.7504959999997</v>
      </c>
      <c r="P16" s="113" t="s">
        <v>124</v>
      </c>
      <c r="Q16" s="114">
        <f>Q14/Q15*100</f>
        <v>3.6667219444488128</v>
      </c>
      <c r="R16" s="115">
        <f>R14/R15*100</f>
        <v>3.3960630980015933</v>
      </c>
      <c r="S16" s="116">
        <f>S14/S15*100</f>
        <v>4.3902519344151685</v>
      </c>
    </row>
    <row r="17" spans="1:19" ht="14.25" x14ac:dyDescent="0.65">
      <c r="A17" s="58"/>
      <c r="B17" s="58"/>
      <c r="C17" s="61">
        <v>2018</v>
      </c>
      <c r="D17" s="64">
        <f>Q4</f>
        <v>792968429</v>
      </c>
      <c r="E17" s="64">
        <f>Q5</f>
        <v>11589116</v>
      </c>
      <c r="F17" s="64">
        <f>Q6</f>
        <v>804557545</v>
      </c>
      <c r="G17" s="64">
        <f>Q8</f>
        <v>835181321.80246878</v>
      </c>
      <c r="H17" s="73">
        <v>7.9</v>
      </c>
      <c r="I17" s="64">
        <f>G17*$H17</f>
        <v>6597932442.2395039</v>
      </c>
      <c r="J17" s="64">
        <f>I17/(1000*1000)</f>
        <v>6597.9324422395039</v>
      </c>
      <c r="K17" s="68"/>
      <c r="L17" s="800">
        <f>H17*Q7/10^6</f>
        <v>241.92783673950339</v>
      </c>
      <c r="M17" s="36">
        <f>J17-L17</f>
        <v>6356.0046055000003</v>
      </c>
      <c r="P17" s="50"/>
      <c r="Q17" s="50"/>
      <c r="R17" s="50"/>
      <c r="S17" s="117"/>
    </row>
    <row r="18" spans="1:19" s="46" customFormat="1" ht="15" thickBot="1" x14ac:dyDescent="0.8">
      <c r="A18" s="58"/>
      <c r="B18" s="58"/>
      <c r="C18" s="61"/>
      <c r="D18" s="62"/>
      <c r="E18" s="62"/>
      <c r="F18" s="66"/>
      <c r="G18" s="64"/>
      <c r="H18" s="73"/>
      <c r="I18" s="64"/>
      <c r="J18" s="64"/>
      <c r="K18" s="68"/>
      <c r="L18" s="60"/>
      <c r="P18" s="50"/>
      <c r="Q18" s="50" t="s">
        <v>125</v>
      </c>
      <c r="R18" s="50"/>
      <c r="S18" s="117"/>
    </row>
    <row r="19" spans="1:19" s="46" customFormat="1" ht="14.25" x14ac:dyDescent="0.65">
      <c r="A19" s="58"/>
      <c r="B19" s="58"/>
      <c r="C19" s="61"/>
      <c r="D19" s="62"/>
      <c r="E19" s="62"/>
      <c r="F19" s="66"/>
      <c r="G19" s="64"/>
      <c r="H19" s="73"/>
      <c r="I19" s="64"/>
      <c r="J19" s="64"/>
      <c r="K19" s="68"/>
      <c r="L19" s="60"/>
      <c r="P19" s="91" t="s">
        <v>126</v>
      </c>
      <c r="Q19" s="92">
        <f>Q6*Q16/100</f>
        <v>29500888.058233634</v>
      </c>
      <c r="R19" s="93">
        <f>R6*R16/100</f>
        <v>27052828.490296189</v>
      </c>
      <c r="S19" s="94">
        <f>S6*S16/100</f>
        <v>33800623.487099916</v>
      </c>
    </row>
    <row r="20" spans="1:19" ht="15" thickBot="1" x14ac:dyDescent="0.8">
      <c r="A20" s="69"/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P20" s="113" t="s">
        <v>127</v>
      </c>
      <c r="Q20" s="118">
        <f>Q7-Q19</f>
        <v>1122888.7442351468</v>
      </c>
      <c r="R20" s="119">
        <f>R7-R19</f>
        <v>951028.6586525254</v>
      </c>
      <c r="S20" s="120">
        <f>S7-S19</f>
        <v>1552072.4157424495</v>
      </c>
    </row>
    <row r="21" spans="1:19" s="46" customFormat="1" ht="14.25" x14ac:dyDescent="0.65">
      <c r="A21" s="69"/>
      <c r="B21" s="69"/>
      <c r="C21" s="70"/>
      <c r="D21" s="70"/>
      <c r="E21" s="70"/>
      <c r="F21" s="70"/>
      <c r="G21" s="70"/>
      <c r="H21" s="70"/>
      <c r="I21" s="70"/>
      <c r="J21" s="70"/>
      <c r="K21" s="125"/>
      <c r="L21" s="70"/>
      <c r="P21" s="109"/>
      <c r="Q21" s="122"/>
      <c r="R21" s="122"/>
      <c r="S21" s="122"/>
    </row>
    <row r="22" spans="1:19" s="46" customFormat="1" ht="18" x14ac:dyDescent="0.8">
      <c r="A22" s="69"/>
      <c r="B22" s="69"/>
      <c r="C22" s="71" t="s">
        <v>93</v>
      </c>
      <c r="D22" s="70"/>
      <c r="E22" s="70"/>
      <c r="F22" s="70"/>
      <c r="G22" s="70"/>
      <c r="H22" s="70"/>
      <c r="I22" s="70"/>
      <c r="J22" s="70"/>
      <c r="K22" s="70"/>
      <c r="L22" s="70"/>
      <c r="P22" s="109"/>
      <c r="Q22" s="122"/>
      <c r="R22" s="122"/>
      <c r="S22" s="122"/>
    </row>
    <row r="23" spans="1:19" ht="14.25" x14ac:dyDescent="0.65">
      <c r="A23" s="69"/>
      <c r="B23" s="69"/>
      <c r="C23" s="70"/>
      <c r="D23" s="70"/>
      <c r="E23" s="70"/>
      <c r="F23" s="70"/>
      <c r="G23" s="70"/>
      <c r="H23" s="70"/>
      <c r="I23" s="70"/>
      <c r="J23" s="70"/>
      <c r="K23" s="70"/>
    </row>
    <row r="24" spans="1:19" ht="15.25" thickBot="1" x14ac:dyDescent="0.85">
      <c r="A24" s="69"/>
      <c r="B24" s="69"/>
      <c r="C24" s="55" t="s">
        <v>83</v>
      </c>
      <c r="D24" s="123" t="s">
        <v>128</v>
      </c>
      <c r="E24" s="123" t="s">
        <v>129</v>
      </c>
      <c r="F24" s="123" t="s">
        <v>133</v>
      </c>
      <c r="G24" s="55" t="s">
        <v>88</v>
      </c>
      <c r="H24" s="55"/>
      <c r="I24" s="55" t="s">
        <v>134</v>
      </c>
      <c r="J24" s="55" t="s">
        <v>90</v>
      </c>
      <c r="K24" s="72" t="s">
        <v>95</v>
      </c>
      <c r="L24" s="812" t="s">
        <v>94</v>
      </c>
      <c r="M24" s="812"/>
    </row>
    <row r="25" spans="1:19" s="46" customFormat="1" ht="15.75" customHeight="1" thickTop="1" x14ac:dyDescent="0.6">
      <c r="A25" s="69"/>
      <c r="B25" s="69"/>
      <c r="C25" s="61">
        <v>2020</v>
      </c>
      <c r="D25" s="126">
        <v>82.53</v>
      </c>
      <c r="E25" s="126">
        <v>489.7</v>
      </c>
      <c r="F25" s="64">
        <f t="shared" ref="F25:F30" si="0">E25*8760</f>
        <v>4289772</v>
      </c>
      <c r="G25" s="127">
        <v>3.7</v>
      </c>
      <c r="H25" s="34">
        <f t="shared" ref="H25:H30" si="1">F25*1000*G25/10^6</f>
        <v>15872.1564</v>
      </c>
      <c r="I25" s="61">
        <v>226.2</v>
      </c>
      <c r="J25" s="76">
        <f t="shared" ref="J25:J30" si="2">D25*I25/10^6*10^6</f>
        <v>18668.286</v>
      </c>
      <c r="K25" s="125" t="s">
        <v>130</v>
      </c>
      <c r="L25" s="813" t="s">
        <v>97</v>
      </c>
      <c r="M25" s="813"/>
    </row>
    <row r="26" spans="1:19" ht="14.25" customHeight="1" x14ac:dyDescent="0.6">
      <c r="A26" s="50"/>
      <c r="B26" s="50"/>
      <c r="C26" s="50">
        <v>2019</v>
      </c>
      <c r="D26" s="50">
        <v>75.430000000000007</v>
      </c>
      <c r="E26" s="50">
        <v>456.2</v>
      </c>
      <c r="F26" s="64">
        <f t="shared" si="0"/>
        <v>3996312</v>
      </c>
      <c r="G26">
        <v>3.7</v>
      </c>
      <c r="H26" s="34">
        <f t="shared" si="1"/>
        <v>14786.3544</v>
      </c>
      <c r="I26" s="50">
        <v>197.2</v>
      </c>
      <c r="J26" s="76">
        <f t="shared" si="2"/>
        <v>14874.796</v>
      </c>
      <c r="K26" s="125" t="s">
        <v>131</v>
      </c>
      <c r="L26" s="813"/>
      <c r="M26" s="813"/>
    </row>
    <row r="27" spans="1:19" ht="14.25" customHeight="1" x14ac:dyDescent="0.6">
      <c r="A27" s="50"/>
      <c r="B27" s="50"/>
      <c r="C27" s="50">
        <v>2018</v>
      </c>
      <c r="D27">
        <v>77.52</v>
      </c>
      <c r="E27" s="50">
        <v>472.6</v>
      </c>
      <c r="F27" s="64">
        <f t="shared" si="0"/>
        <v>4139976</v>
      </c>
      <c r="G27" s="46">
        <v>3.7</v>
      </c>
      <c r="H27" s="34">
        <f t="shared" si="1"/>
        <v>15317.9112</v>
      </c>
      <c r="I27" s="50">
        <v>197.2</v>
      </c>
      <c r="J27" s="76">
        <f t="shared" si="2"/>
        <v>15286.943999999998</v>
      </c>
      <c r="K27" s="125" t="s">
        <v>132</v>
      </c>
      <c r="L27" s="813"/>
      <c r="M27" s="813"/>
    </row>
    <row r="28" spans="1:19" s="46" customFormat="1" ht="14.25" customHeight="1" x14ac:dyDescent="0.6">
      <c r="A28" s="50"/>
      <c r="B28" s="50"/>
      <c r="C28" s="50">
        <v>2017</v>
      </c>
      <c r="D28" s="46">
        <v>72.64</v>
      </c>
      <c r="E28" s="50">
        <v>446</v>
      </c>
      <c r="F28" s="64">
        <f t="shared" si="0"/>
        <v>3906960</v>
      </c>
      <c r="G28" s="46">
        <v>4.0999999999999996</v>
      </c>
      <c r="H28" s="34">
        <f t="shared" si="1"/>
        <v>16018.535999999998</v>
      </c>
      <c r="I28" s="50">
        <v>203</v>
      </c>
      <c r="J28" s="76">
        <f t="shared" si="2"/>
        <v>14745.92</v>
      </c>
      <c r="K28" s="125" t="s">
        <v>137</v>
      </c>
      <c r="L28" s="813"/>
      <c r="M28" s="813"/>
    </row>
    <row r="29" spans="1:19" ht="14.25" customHeight="1" x14ac:dyDescent="0.6">
      <c r="A29" s="50"/>
      <c r="B29" s="50"/>
      <c r="C29" s="50">
        <v>2016</v>
      </c>
      <c r="D29" s="46">
        <v>69.45</v>
      </c>
      <c r="E29" s="50">
        <v>426</v>
      </c>
      <c r="F29" s="64">
        <f t="shared" si="0"/>
        <v>3731760</v>
      </c>
      <c r="G29" s="46">
        <v>5</v>
      </c>
      <c r="H29" s="34">
        <f t="shared" si="1"/>
        <v>18658.8</v>
      </c>
      <c r="I29" s="50">
        <v>220.4</v>
      </c>
      <c r="J29" s="76">
        <f t="shared" si="2"/>
        <v>15306.78</v>
      </c>
      <c r="K29" s="125" t="s">
        <v>138</v>
      </c>
      <c r="L29" s="813"/>
      <c r="M29" s="813"/>
    </row>
    <row r="30" spans="1:19" ht="14.25" customHeight="1" x14ac:dyDescent="0.6">
      <c r="A30" s="50"/>
      <c r="B30" s="50"/>
      <c r="C30" s="50">
        <v>2015</v>
      </c>
      <c r="D30" s="50"/>
      <c r="E30" s="50"/>
      <c r="F30" s="64">
        <f t="shared" si="0"/>
        <v>0</v>
      </c>
      <c r="G30" s="46">
        <v>5.2</v>
      </c>
      <c r="H30" s="34">
        <f t="shared" si="1"/>
        <v>0</v>
      </c>
      <c r="I30" s="50">
        <v>261</v>
      </c>
      <c r="J30" s="76">
        <f t="shared" si="2"/>
        <v>0</v>
      </c>
      <c r="K30" s="125" t="s">
        <v>139</v>
      </c>
      <c r="L30" s="813"/>
      <c r="M30" s="813"/>
    </row>
    <row r="31" spans="1:19" ht="14.25" customHeight="1" x14ac:dyDescent="0.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44"/>
      <c r="M31" s="44"/>
    </row>
    <row r="32" spans="1:19" ht="14.25" customHeight="1" x14ac:dyDescent="0.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1:12" x14ac:dyDescent="0.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</row>
    <row r="34" spans="1:12" x14ac:dyDescent="0.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</row>
  </sheetData>
  <mergeCells count="3">
    <mergeCell ref="D7:F7"/>
    <mergeCell ref="L24:M24"/>
    <mergeCell ref="L25:M30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0516-AFF3-4B6B-96EC-2D11FDE3B9FC}">
  <dimension ref="A1:BV228"/>
  <sheetViews>
    <sheetView topLeftCell="M1" zoomScale="50" zoomScaleNormal="50" workbookViewId="0">
      <selection activeCell="Q69" sqref="Q69"/>
    </sheetView>
  </sheetViews>
  <sheetFormatPr defaultColWidth="9.1328125" defaultRowHeight="13" x14ac:dyDescent="0.6"/>
  <cols>
    <col min="1" max="9" width="9.1328125" style="50"/>
    <col min="10" max="10" width="10" style="50" bestFit="1" customWidth="1"/>
    <col min="11" max="15" width="9.1328125" style="50"/>
    <col min="16" max="16" width="10.26953125" style="50" bestFit="1" customWidth="1"/>
    <col min="17" max="20" width="9.1328125" style="50"/>
    <col min="21" max="21" width="9.54296875" style="50" bestFit="1" customWidth="1"/>
    <col min="22" max="22" width="11.54296875" style="50" bestFit="1" customWidth="1"/>
    <col min="23" max="23" width="20.54296875" style="50" customWidth="1"/>
    <col min="24" max="24" width="13.1328125" style="50" customWidth="1"/>
    <col min="25" max="25" width="13" style="50" customWidth="1"/>
    <col min="26" max="32" width="9.1328125" style="50"/>
    <col min="33" max="33" width="10.54296875" style="50" bestFit="1" customWidth="1"/>
    <col min="34" max="39" width="9.1328125" style="50"/>
    <col min="40" max="40" width="12.54296875" style="50" bestFit="1" customWidth="1"/>
    <col min="41" max="42" width="9.1328125" style="50"/>
    <col min="43" max="43" width="10.86328125" style="50" customWidth="1"/>
    <col min="44" max="58" width="9.1328125" style="50"/>
    <col min="59" max="59" width="13" style="50" bestFit="1" customWidth="1"/>
    <col min="60" max="68" width="9.1328125" style="50"/>
    <col min="69" max="69" width="12.86328125" style="50" customWidth="1"/>
    <col min="70" max="16384" width="9.1328125" style="50"/>
  </cols>
  <sheetData>
    <row r="1" spans="1:74" ht="17.5" thickBot="1" x14ac:dyDescent="0.9">
      <c r="A1" s="852" t="s">
        <v>141</v>
      </c>
      <c r="B1" s="852"/>
      <c r="C1" s="852"/>
      <c r="D1" s="852"/>
      <c r="E1" s="852"/>
      <c r="F1" s="852"/>
      <c r="G1" s="852"/>
      <c r="H1" s="852"/>
      <c r="I1" s="852"/>
      <c r="J1" s="852"/>
      <c r="K1" s="852"/>
      <c r="L1" s="852"/>
      <c r="M1" s="852"/>
    </row>
    <row r="2" spans="1:74" ht="25.25" x14ac:dyDescent="1.05">
      <c r="A2" s="853"/>
      <c r="B2" s="854"/>
      <c r="C2" s="859" t="s">
        <v>142</v>
      </c>
      <c r="D2" s="860"/>
      <c r="E2" s="860"/>
      <c r="F2" s="860"/>
      <c r="G2" s="860"/>
      <c r="H2" s="860"/>
      <c r="I2" s="860"/>
      <c r="J2" s="860"/>
      <c r="K2" s="860"/>
      <c r="L2" s="860"/>
      <c r="M2" s="861"/>
    </row>
    <row r="3" spans="1:74" ht="137.75" thickBot="1" x14ac:dyDescent="1.2">
      <c r="A3" s="855"/>
      <c r="B3" s="856"/>
      <c r="C3" s="130" t="s">
        <v>143</v>
      </c>
      <c r="D3" s="131" t="s">
        <v>144</v>
      </c>
      <c r="E3" s="132" t="s">
        <v>145</v>
      </c>
      <c r="F3" s="133" t="s">
        <v>146</v>
      </c>
      <c r="G3" s="862" t="s">
        <v>147</v>
      </c>
      <c r="H3" s="865" t="s">
        <v>148</v>
      </c>
      <c r="I3" s="866"/>
      <c r="J3" s="866"/>
      <c r="K3" s="866"/>
      <c r="L3" s="866"/>
      <c r="M3" s="867"/>
      <c r="BI3" s="76">
        <f>BI14+BI20+BI16+BI22</f>
        <v>65.562715510385544</v>
      </c>
      <c r="BJ3" s="76">
        <f>BI15+BI21</f>
        <v>441.94633186716288</v>
      </c>
      <c r="BK3" s="76">
        <f>BI17+BI19+BI23+BI25</f>
        <v>20.596612807745654</v>
      </c>
      <c r="BL3" s="76">
        <f>BI24+BI18</f>
        <v>1001.9336619845312</v>
      </c>
    </row>
    <row r="4" spans="1:74" ht="35.25" x14ac:dyDescent="1.05">
      <c r="A4" s="857"/>
      <c r="B4" s="858"/>
      <c r="C4" s="134"/>
      <c r="D4" s="135"/>
      <c r="E4" s="136"/>
      <c r="F4" s="137" t="s">
        <v>149</v>
      </c>
      <c r="G4" s="863"/>
      <c r="H4" s="138"/>
      <c r="I4" s="139"/>
      <c r="J4" s="139"/>
      <c r="K4" s="139"/>
      <c r="L4" s="139"/>
      <c r="M4" s="140"/>
      <c r="W4" s="141">
        <v>2019</v>
      </c>
      <c r="X4" s="142" t="s">
        <v>10</v>
      </c>
      <c r="Y4" s="142" t="s">
        <v>150</v>
      </c>
      <c r="Z4" s="142" t="s">
        <v>151</v>
      </c>
      <c r="AA4" s="142" t="s">
        <v>152</v>
      </c>
      <c r="AB4" s="143" t="s">
        <v>153</v>
      </c>
      <c r="AN4" s="50" t="s">
        <v>154</v>
      </c>
      <c r="BI4" s="76">
        <f>BI8+BI10+BI11+BI13</f>
        <v>1341.0126697566911</v>
      </c>
      <c r="BJ4" s="76">
        <f>BI9+BI12</f>
        <v>973.31351405775001</v>
      </c>
      <c r="BM4" s="50">
        <v>28</v>
      </c>
      <c r="BN4" s="50">
        <v>265</v>
      </c>
    </row>
    <row r="5" spans="1:74" ht="13.75" thickBot="1" x14ac:dyDescent="0.75">
      <c r="A5" s="144" t="s">
        <v>155</v>
      </c>
      <c r="B5" s="145"/>
      <c r="C5" s="146">
        <v>1.01</v>
      </c>
      <c r="D5" s="147">
        <v>1.66</v>
      </c>
      <c r="E5" s="148">
        <v>0.6</v>
      </c>
      <c r="F5" s="149">
        <f>SUM(C5:E5)</f>
        <v>3.27</v>
      </c>
      <c r="G5" s="864"/>
      <c r="H5" s="150"/>
      <c r="I5" s="868" t="s">
        <v>156</v>
      </c>
      <c r="J5" s="869"/>
      <c r="K5" s="869"/>
      <c r="L5" s="870" t="s">
        <v>157</v>
      </c>
      <c r="M5" s="871"/>
      <c r="W5" s="872" t="s">
        <v>158</v>
      </c>
      <c r="X5" s="873"/>
      <c r="Y5" s="873"/>
      <c r="Z5" s="873"/>
      <c r="AA5" s="873"/>
      <c r="AB5" s="874"/>
      <c r="BG5" s="50" t="s">
        <v>159</v>
      </c>
    </row>
    <row r="6" spans="1:74" ht="26.75" thickBot="1" x14ac:dyDescent="0.75">
      <c r="A6" s="875" t="s">
        <v>160</v>
      </c>
      <c r="B6" s="876"/>
      <c r="C6" s="151" t="s">
        <v>161</v>
      </c>
      <c r="D6" s="152" t="s">
        <v>162</v>
      </c>
      <c r="E6" s="153" t="s">
        <v>163</v>
      </c>
      <c r="F6" s="154"/>
      <c r="G6" s="155" t="s">
        <v>164</v>
      </c>
      <c r="H6" s="156"/>
      <c r="I6" s="877" t="s">
        <v>165</v>
      </c>
      <c r="J6" s="878"/>
      <c r="K6" s="878"/>
      <c r="L6" s="879" t="s">
        <v>166</v>
      </c>
      <c r="M6" s="880"/>
      <c r="Q6" s="50" t="s">
        <v>167</v>
      </c>
      <c r="S6" s="50" t="s">
        <v>168</v>
      </c>
      <c r="W6" s="157" t="s">
        <v>169</v>
      </c>
      <c r="X6" s="158">
        <v>163424</v>
      </c>
      <c r="Y6" s="158">
        <v>84654</v>
      </c>
      <c r="Z6" s="159">
        <v>0.52</v>
      </c>
      <c r="AA6" s="160">
        <v>30.85</v>
      </c>
      <c r="AB6" s="161">
        <v>11261</v>
      </c>
      <c r="AD6" s="162">
        <f>X6/X20</f>
        <v>0.60566663578245161</v>
      </c>
      <c r="AE6" s="162">
        <f>Y6/Y20</f>
        <v>0.67010211351222992</v>
      </c>
      <c r="AG6" s="76">
        <f t="shared" ref="AG6:AG11" si="0">AG20*AD6</f>
        <v>135668.72074863338</v>
      </c>
      <c r="AJ6" s="163">
        <f>AB6/AC12</f>
        <v>0.16490210722078227</v>
      </c>
      <c r="AN6" s="76">
        <f>AA6*X6*365/1000000</f>
        <v>1840.1950960000001</v>
      </c>
      <c r="AO6" s="164">
        <f t="shared" ref="AO6:AO11" si="1">AN6/$AO$12</f>
        <v>0.96190289926576888</v>
      </c>
      <c r="AQ6" s="162">
        <f>AN6/$AO$26</f>
        <v>0.43651664408983454</v>
      </c>
      <c r="AZ6" s="50" t="s">
        <v>170</v>
      </c>
      <c r="BA6" s="50" t="s">
        <v>171</v>
      </c>
      <c r="BB6" s="50" t="s">
        <v>172</v>
      </c>
      <c r="BC6" s="50" t="s">
        <v>173</v>
      </c>
      <c r="BD6" s="50" t="s">
        <v>174</v>
      </c>
      <c r="BE6" s="50" t="s">
        <v>175</v>
      </c>
      <c r="BF6" s="50" t="s">
        <v>176</v>
      </c>
      <c r="BG6" s="50" t="s">
        <v>177</v>
      </c>
      <c r="BH6" s="50" t="s">
        <v>178</v>
      </c>
      <c r="BI6" s="50" t="s">
        <v>179</v>
      </c>
      <c r="BJ6" s="50" t="s">
        <v>176</v>
      </c>
      <c r="BK6" s="50" t="s">
        <v>177</v>
      </c>
      <c r="BL6" s="50" t="s">
        <v>178</v>
      </c>
      <c r="BP6" s="50" t="s">
        <v>180</v>
      </c>
      <c r="BQ6" s="50" t="s">
        <v>181</v>
      </c>
      <c r="BR6" s="50" t="s">
        <v>182</v>
      </c>
    </row>
    <row r="7" spans="1:74" ht="15" thickBot="1" x14ac:dyDescent="0.8">
      <c r="A7" s="165"/>
      <c r="B7" s="166" t="s">
        <v>183</v>
      </c>
      <c r="C7" s="881" t="s">
        <v>184</v>
      </c>
      <c r="D7" s="882"/>
      <c r="E7" s="882"/>
      <c r="F7" s="167" t="s">
        <v>185</v>
      </c>
      <c r="G7" s="168" t="s">
        <v>186</v>
      </c>
      <c r="H7" s="169"/>
      <c r="I7" s="170" t="s">
        <v>161</v>
      </c>
      <c r="J7" s="171" t="s">
        <v>162</v>
      </c>
      <c r="K7" s="172" t="s">
        <v>163</v>
      </c>
      <c r="L7" s="173" t="s">
        <v>187</v>
      </c>
      <c r="M7" s="174" t="s">
        <v>188</v>
      </c>
      <c r="Q7" s="50" t="s">
        <v>189</v>
      </c>
      <c r="S7" s="50">
        <v>223999</v>
      </c>
      <c r="W7" s="175" t="s">
        <v>190</v>
      </c>
      <c r="X7" s="176">
        <v>95</v>
      </c>
      <c r="Y7" s="176">
        <v>65</v>
      </c>
      <c r="Z7" s="177">
        <v>0.68</v>
      </c>
      <c r="AA7" s="176">
        <v>24.99</v>
      </c>
      <c r="AB7" s="178">
        <v>9123</v>
      </c>
      <c r="AD7" s="162">
        <f t="shared" ref="AD7:AE11" si="2">X7/X21</f>
        <v>6.8542568542568544E-2</v>
      </c>
      <c r="AE7" s="162">
        <f t="shared" si="2"/>
        <v>8.5638998682476944E-2</v>
      </c>
      <c r="AG7" s="76">
        <f t="shared" si="0"/>
        <v>63.538961038961041</v>
      </c>
      <c r="AN7" s="76">
        <f t="shared" ref="AN7:AN25" si="3">AA7*X7*365/1000000</f>
        <v>0.86652824999999989</v>
      </c>
      <c r="AO7" s="164">
        <f t="shared" si="1"/>
        <v>4.5294981916998485E-4</v>
      </c>
      <c r="AQ7" s="162">
        <f t="shared" ref="AQ7:AQ32" si="4">AN7/$AO$26</f>
        <v>2.0555103343185797E-4</v>
      </c>
      <c r="AX7" s="121">
        <f>W68</f>
        <v>1177.9985244311522</v>
      </c>
    </row>
    <row r="8" spans="1:74" ht="13.75" thickBot="1" x14ac:dyDescent="0.75">
      <c r="A8" s="842">
        <v>2005</v>
      </c>
      <c r="B8" s="179" t="s">
        <v>191</v>
      </c>
      <c r="C8" s="180">
        <v>36964</v>
      </c>
      <c r="D8" s="181">
        <v>35212</v>
      </c>
      <c r="E8" s="182">
        <v>32382</v>
      </c>
      <c r="F8" s="183">
        <v>104558</v>
      </c>
      <c r="G8" s="184">
        <v>104558</v>
      </c>
      <c r="H8" s="185"/>
      <c r="I8" s="186"/>
      <c r="J8" s="186"/>
      <c r="K8" s="186"/>
      <c r="L8" s="187"/>
      <c r="M8" s="188"/>
      <c r="Q8" s="50" t="s">
        <v>192</v>
      </c>
      <c r="S8" s="50">
        <v>22995</v>
      </c>
      <c r="W8" s="157" t="s">
        <v>193</v>
      </c>
      <c r="X8" s="160">
        <v>6</v>
      </c>
      <c r="Y8" s="160">
        <v>4</v>
      </c>
      <c r="Z8" s="159">
        <v>0.67</v>
      </c>
      <c r="AA8" s="160">
        <v>80.099999999999994</v>
      </c>
      <c r="AB8" s="161">
        <v>29237</v>
      </c>
      <c r="AD8" s="162">
        <f t="shared" si="2"/>
        <v>3.3482142857142855E-3</v>
      </c>
      <c r="AE8" s="162">
        <f t="shared" si="2"/>
        <v>4.048582995951417E-3</v>
      </c>
      <c r="AG8" s="76">
        <f t="shared" si="0"/>
        <v>3.8772321428571428</v>
      </c>
      <c r="AN8" s="76">
        <f t="shared" si="3"/>
        <v>0.17541899999999999</v>
      </c>
      <c r="AO8" s="164">
        <f t="shared" si="1"/>
        <v>9.1694649688546878E-5</v>
      </c>
      <c r="AQ8" s="162">
        <f t="shared" si="4"/>
        <v>4.1611518993850573E-5</v>
      </c>
      <c r="AU8" s="50" t="s">
        <v>194</v>
      </c>
      <c r="AV8" s="50" t="s">
        <v>158</v>
      </c>
      <c r="AW8" s="189">
        <f>AQ6</f>
        <v>0.43651664408983454</v>
      </c>
      <c r="AX8" s="76">
        <f t="shared" ref="AX8:AX25" si="5">AW8*$AX$7</f>
        <v>514.21596262746357</v>
      </c>
      <c r="AZ8" s="50">
        <v>7.5</v>
      </c>
      <c r="BA8" s="50">
        <f>AZ8/100</f>
        <v>7.4999999999999997E-2</v>
      </c>
      <c r="BB8" s="50">
        <v>0.75</v>
      </c>
      <c r="BC8" s="50">
        <f>BB8*BA8</f>
        <v>5.6249999999999994E-2</v>
      </c>
      <c r="BD8" s="50">
        <v>44.3</v>
      </c>
      <c r="BE8" s="50">
        <f>BD8*BC8</f>
        <v>2.4918749999999994</v>
      </c>
      <c r="BF8" s="50">
        <v>72.416541095972974</v>
      </c>
      <c r="BG8" s="50">
        <f>7.87852632644844/1000</f>
        <v>7.8785263264484397E-3</v>
      </c>
      <c r="BH8" s="50">
        <f>0.93521034397128/1000</f>
        <v>9.3521034397127997E-4</v>
      </c>
      <c r="BI8" s="76">
        <f>BE8*AX8</f>
        <v>1281.3619018723105</v>
      </c>
      <c r="BJ8" s="76">
        <f>$BI8*BF8</f>
        <v>92791.796825750265</v>
      </c>
      <c r="BK8" s="76">
        <f>$BI8*BG8</f>
        <v>10.09524347760904</v>
      </c>
      <c r="BL8" s="76">
        <f>$BI8*BH8</f>
        <v>1.1983429050016969</v>
      </c>
      <c r="BN8" s="76">
        <f>BJ8+BK8*$BM$4+BL8*$BN$4</f>
        <v>93392.024512948774</v>
      </c>
      <c r="BO8" s="76">
        <f>BN8*$BO$27/$BN$27</f>
        <v>93409.215713699261</v>
      </c>
      <c r="BP8" s="50">
        <v>2.34</v>
      </c>
      <c r="BQ8" s="50">
        <f>BP8*BA8*AX8*1000000</f>
        <v>90244901.44111985</v>
      </c>
      <c r="BR8" s="50">
        <f>BQ8/1000</f>
        <v>90244.901441119844</v>
      </c>
    </row>
    <row r="9" spans="1:74" ht="13.75" thickBot="1" x14ac:dyDescent="0.75">
      <c r="A9" s="828"/>
      <c r="B9" s="190" t="s">
        <v>195</v>
      </c>
      <c r="C9" s="191">
        <v>39806</v>
      </c>
      <c r="D9" s="192">
        <v>37070.580282304945</v>
      </c>
      <c r="E9" s="193">
        <v>35244</v>
      </c>
      <c r="F9" s="194">
        <v>112120.58028230495</v>
      </c>
      <c r="G9" s="195">
        <v>216678.58028230496</v>
      </c>
      <c r="H9" s="185"/>
      <c r="I9" s="186"/>
      <c r="J9" s="186"/>
      <c r="K9" s="186"/>
      <c r="L9" s="196"/>
      <c r="M9" s="197"/>
      <c r="Q9" s="50" t="s">
        <v>196</v>
      </c>
      <c r="S9" s="50">
        <v>8836</v>
      </c>
      <c r="W9" s="175" t="s">
        <v>197</v>
      </c>
      <c r="X9" s="198">
        <v>6269</v>
      </c>
      <c r="Y9" s="198">
        <v>3214</v>
      </c>
      <c r="Z9" s="177">
        <v>0.51</v>
      </c>
      <c r="AA9" s="176">
        <v>29.17</v>
      </c>
      <c r="AB9" s="178">
        <v>10647</v>
      </c>
      <c r="AD9" s="162">
        <f t="shared" si="2"/>
        <v>0.21662807975396522</v>
      </c>
      <c r="AE9" s="162">
        <f t="shared" si="2"/>
        <v>0.21798697775366252</v>
      </c>
      <c r="AG9" s="76">
        <f t="shared" si="0"/>
        <v>4981.3626939424303</v>
      </c>
      <c r="AN9" s="76">
        <f t="shared" si="3"/>
        <v>66.746356450000007</v>
      </c>
      <c r="AO9" s="164">
        <f t="shared" si="1"/>
        <v>3.4889514663004766E-2</v>
      </c>
      <c r="AQ9" s="162">
        <f t="shared" si="4"/>
        <v>1.5833047042734801E-2</v>
      </c>
      <c r="AV9" s="50" t="s">
        <v>25</v>
      </c>
      <c r="AW9" s="189">
        <f>AQ13</f>
        <v>0.33206503080050687</v>
      </c>
      <c r="AX9" s="76">
        <f t="shared" si="5"/>
        <v>391.17211629818217</v>
      </c>
      <c r="AZ9" s="50">
        <v>6.5</v>
      </c>
      <c r="BA9" s="50">
        <f t="shared" ref="BA9:BA25" si="6">AZ9/100</f>
        <v>6.5000000000000002E-2</v>
      </c>
      <c r="BB9" s="50">
        <v>0.86499999999999999</v>
      </c>
      <c r="BC9" s="50">
        <f t="shared" ref="BC9:BC25" si="7">BB9*BA9</f>
        <v>5.6225000000000004E-2</v>
      </c>
      <c r="BD9" s="50">
        <v>43</v>
      </c>
      <c r="BE9" s="50">
        <f t="shared" ref="BE9:BE25" si="8">BD9*BC9</f>
        <v>2.417675</v>
      </c>
      <c r="BF9" s="50">
        <v>73.367636682232202</v>
      </c>
      <c r="BG9" s="50">
        <f>0.06636778941357/1000</f>
        <v>6.6367789413569991E-5</v>
      </c>
      <c r="BH9" s="50">
        <f>2.52657658902305/1000</f>
        <v>2.5265765890230499E-3</v>
      </c>
      <c r="BI9" s="76">
        <f t="shared" ref="BI9:BI25" si="9">BE9*AX9</f>
        <v>945.72704627120754</v>
      </c>
      <c r="BJ9" s="76">
        <f t="shared" ref="BJ9:BL25" si="10">$BI9*BF9</f>
        <v>69385.758331386562</v>
      </c>
      <c r="BK9" s="76">
        <f t="shared" si="10"/>
        <v>6.2765813449645061E-2</v>
      </c>
      <c r="BL9" s="76">
        <f t="shared" si="10"/>
        <v>2.3894518147147519</v>
      </c>
      <c r="BN9" s="76">
        <f t="shared" ref="BN9:BN25" si="11">BJ9+BK9*$BM$4+BL9*$BN$4</f>
        <v>70020.720505062563</v>
      </c>
      <c r="BO9" s="76">
        <f t="shared" ref="BO9:BO24" si="12">BN9*$BO$27/$BN$27</f>
        <v>70033.609617052309</v>
      </c>
      <c r="BP9" s="50">
        <v>2.72</v>
      </c>
      <c r="BQ9" s="50">
        <f t="shared" ref="BQ9:BQ25" si="13">BP9*BA9*AX9*1000000</f>
        <v>69159230.161518604</v>
      </c>
      <c r="BR9" s="50">
        <f t="shared" ref="BR9:BR25" si="14">BQ9/1000</f>
        <v>69159.230161518601</v>
      </c>
    </row>
    <row r="10" spans="1:74" ht="13.75" thickBot="1" x14ac:dyDescent="0.75">
      <c r="A10" s="828"/>
      <c r="B10" s="190" t="s">
        <v>15</v>
      </c>
      <c r="C10" s="191">
        <v>39314</v>
      </c>
      <c r="D10" s="192">
        <v>37980.72629630773</v>
      </c>
      <c r="E10" s="193">
        <v>36152</v>
      </c>
      <c r="F10" s="194">
        <v>113446.72629630772</v>
      </c>
      <c r="G10" s="195">
        <v>330125.30657861265</v>
      </c>
      <c r="H10" s="199"/>
      <c r="I10" s="186"/>
      <c r="J10" s="186"/>
      <c r="K10" s="186"/>
      <c r="L10" s="186"/>
      <c r="M10" s="197"/>
      <c r="Q10" s="50" t="s">
        <v>198</v>
      </c>
      <c r="S10" s="50">
        <v>6889</v>
      </c>
      <c r="W10" s="157" t="s">
        <v>199</v>
      </c>
      <c r="X10" s="160">
        <v>635</v>
      </c>
      <c r="Y10" s="160">
        <v>158</v>
      </c>
      <c r="Z10" s="159">
        <v>0.25</v>
      </c>
      <c r="AA10" s="160">
        <v>21.98</v>
      </c>
      <c r="AB10" s="200">
        <v>8021</v>
      </c>
      <c r="AD10" s="162">
        <f t="shared" si="2"/>
        <v>0.10786478681841345</v>
      </c>
      <c r="AE10" s="162">
        <f t="shared" si="2"/>
        <v>5.398018448923813E-2</v>
      </c>
      <c r="AG10" s="76">
        <f t="shared" si="0"/>
        <v>410.10191948360796</v>
      </c>
      <c r="AN10" s="76">
        <f t="shared" si="3"/>
        <v>5.0944145000000001</v>
      </c>
      <c r="AO10" s="164">
        <f t="shared" si="1"/>
        <v>2.6629416023677809E-3</v>
      </c>
      <c r="AQ10" s="162">
        <f t="shared" si="4"/>
        <v>1.2084570413085115E-3</v>
      </c>
      <c r="AV10" s="50" t="s">
        <v>42</v>
      </c>
      <c r="AW10" s="189">
        <f>AQ27</f>
        <v>5.0691531669380757E-2</v>
      </c>
      <c r="AX10" s="76">
        <f t="shared" si="5"/>
        <v>59.714549507685554</v>
      </c>
      <c r="AZ10" s="50">
        <v>3</v>
      </c>
      <c r="BA10" s="50">
        <f t="shared" si="6"/>
        <v>0.03</v>
      </c>
      <c r="BB10" s="50">
        <v>0.75</v>
      </c>
      <c r="BC10" s="50">
        <f t="shared" si="7"/>
        <v>2.2499999999999999E-2</v>
      </c>
      <c r="BD10" s="50">
        <v>44.3</v>
      </c>
      <c r="BE10" s="50">
        <f t="shared" si="8"/>
        <v>0.99674999999999991</v>
      </c>
      <c r="BF10" s="50">
        <v>72.416541095972974</v>
      </c>
      <c r="BG10" s="50">
        <f>7.87852632644844/1000</f>
        <v>7.8785263264484397E-3</v>
      </c>
      <c r="BH10" s="50">
        <f>0.93521034397128/1000</f>
        <v>9.3521034397127997E-4</v>
      </c>
      <c r="BI10" s="76">
        <f t="shared" si="9"/>
        <v>59.520477221785569</v>
      </c>
      <c r="BJ10" s="76">
        <f t="shared" si="10"/>
        <v>4310.2670847833579</v>
      </c>
      <c r="BK10" s="76">
        <f t="shared" si="10"/>
        <v>0.4689336467546123</v>
      </c>
      <c r="BL10" s="76">
        <f t="shared" si="10"/>
        <v>5.5664165975920818E-2</v>
      </c>
      <c r="BN10" s="76">
        <f t="shared" si="11"/>
        <v>4338.148230876106</v>
      </c>
      <c r="BO10" s="76">
        <f t="shared" si="12"/>
        <v>4338.9467784770522</v>
      </c>
      <c r="BP10" s="50">
        <v>2.34</v>
      </c>
      <c r="BQ10" s="50">
        <f t="shared" si="13"/>
        <v>4191961.3754395256</v>
      </c>
      <c r="BR10" s="50">
        <f t="shared" si="14"/>
        <v>4191.9613754395259</v>
      </c>
      <c r="BU10" s="50" t="s">
        <v>169</v>
      </c>
      <c r="BV10" s="50">
        <f>SUM(BR8:BR14)</f>
        <v>169114.13991120967</v>
      </c>
    </row>
    <row r="11" spans="1:74" ht="13.75" thickBot="1" x14ac:dyDescent="0.75">
      <c r="A11" s="828"/>
      <c r="B11" s="190" t="s">
        <v>16</v>
      </c>
      <c r="C11" s="191">
        <v>40771.075849776658</v>
      </c>
      <c r="D11" s="192">
        <v>40551</v>
      </c>
      <c r="E11" s="193">
        <v>37617</v>
      </c>
      <c r="F11" s="194">
        <v>118939.07584977665</v>
      </c>
      <c r="G11" s="195">
        <v>449064.38242838928</v>
      </c>
      <c r="H11" s="199"/>
      <c r="I11" s="186"/>
      <c r="J11" s="186"/>
      <c r="K11" s="186"/>
      <c r="L11" s="186"/>
      <c r="M11" s="197"/>
      <c r="Q11" s="50" t="s">
        <v>200</v>
      </c>
      <c r="S11" s="50">
        <v>6414</v>
      </c>
      <c r="W11" s="175" t="s">
        <v>201</v>
      </c>
      <c r="X11" s="176">
        <v>13</v>
      </c>
      <c r="Y11" s="176">
        <v>0</v>
      </c>
      <c r="Z11" s="177">
        <v>0</v>
      </c>
      <c r="AA11" s="176">
        <v>0</v>
      </c>
      <c r="AB11" s="201">
        <v>0</v>
      </c>
      <c r="AD11" s="162">
        <f t="shared" si="2"/>
        <v>1.8675477661255567E-3</v>
      </c>
      <c r="AE11" s="162">
        <f t="shared" si="2"/>
        <v>0</v>
      </c>
      <c r="AG11" s="76">
        <f t="shared" si="0"/>
        <v>7.754058324953311</v>
      </c>
      <c r="AN11" s="76">
        <f t="shared" si="3"/>
        <v>0</v>
      </c>
      <c r="AO11" s="164">
        <f t="shared" si="1"/>
        <v>0</v>
      </c>
      <c r="AQ11" s="162">
        <f t="shared" si="4"/>
        <v>0</v>
      </c>
      <c r="AU11" s="50" t="s">
        <v>202</v>
      </c>
      <c r="AV11" s="50" t="s">
        <v>158</v>
      </c>
      <c r="AW11" s="202">
        <f>AQ8</f>
        <v>4.1611518993850573E-5</v>
      </c>
      <c r="AX11" s="76">
        <f t="shared" si="5"/>
        <v>4.9018307974094837E-2</v>
      </c>
      <c r="AZ11" s="50">
        <v>8</v>
      </c>
      <c r="BA11" s="50">
        <f t="shared" si="6"/>
        <v>0.08</v>
      </c>
      <c r="BB11" s="50">
        <v>0.75</v>
      </c>
      <c r="BC11" s="50">
        <f t="shared" si="7"/>
        <v>0.06</v>
      </c>
      <c r="BD11" s="50">
        <v>44.3</v>
      </c>
      <c r="BE11" s="50">
        <f t="shared" si="8"/>
        <v>2.6579999999999999</v>
      </c>
      <c r="BF11" s="50">
        <v>72.416541095972974</v>
      </c>
      <c r="BG11" s="50">
        <f>7.87852632644844/1000</f>
        <v>7.8785263264484397E-3</v>
      </c>
      <c r="BH11" s="50">
        <f>0.93521034397128/1000</f>
        <v>9.3521034397127997E-4</v>
      </c>
      <c r="BI11" s="76">
        <f t="shared" si="9"/>
        <v>0.13029066259514407</v>
      </c>
      <c r="BJ11" s="76">
        <f t="shared" si="10"/>
        <v>9.4351991222427998</v>
      </c>
      <c r="BK11" s="76">
        <f t="shared" si="10"/>
        <v>1.0264984153462535E-3</v>
      </c>
      <c r="BL11" s="76">
        <f t="shared" si="10"/>
        <v>1.2184917538185068E-4</v>
      </c>
      <c r="BN11" s="76">
        <f t="shared" si="11"/>
        <v>9.4962311093486846</v>
      </c>
      <c r="BO11" s="76">
        <f t="shared" si="12"/>
        <v>9.4979791345813016</v>
      </c>
      <c r="BP11" s="50">
        <v>2.34</v>
      </c>
      <c r="BQ11" s="50">
        <f t="shared" si="13"/>
        <v>9176.2272527505538</v>
      </c>
      <c r="BR11" s="50">
        <f t="shared" si="14"/>
        <v>9.1762272527505537</v>
      </c>
      <c r="BU11" s="50" t="s">
        <v>203</v>
      </c>
      <c r="BV11" s="50">
        <f>SUM(BR11:BR13)+SUM(BR17:BR19)</f>
        <v>25909.275181926922</v>
      </c>
    </row>
    <row r="12" spans="1:74" ht="13.75" thickBot="1" x14ac:dyDescent="0.75">
      <c r="A12" s="828"/>
      <c r="B12" s="190" t="s">
        <v>17</v>
      </c>
      <c r="C12" s="191">
        <v>40229</v>
      </c>
      <c r="D12" s="192">
        <v>40965</v>
      </c>
      <c r="E12" s="193">
        <v>39578</v>
      </c>
      <c r="F12" s="194">
        <v>120772</v>
      </c>
      <c r="G12" s="195">
        <v>569836.38242838928</v>
      </c>
      <c r="H12" s="199"/>
      <c r="I12" s="186"/>
      <c r="J12" s="186"/>
      <c r="K12" s="186"/>
      <c r="L12" s="186"/>
      <c r="M12" s="197"/>
      <c r="Q12" s="50" t="s">
        <v>204</v>
      </c>
      <c r="S12" s="50">
        <v>5209</v>
      </c>
      <c r="W12" s="846" t="s">
        <v>205</v>
      </c>
      <c r="X12" s="847"/>
      <c r="Y12" s="847"/>
      <c r="Z12" s="847"/>
      <c r="AA12" s="847"/>
      <c r="AB12" s="848"/>
      <c r="AC12" s="112">
        <f>SUM(AB6:AB11)</f>
        <v>68289</v>
      </c>
      <c r="AN12" s="76"/>
      <c r="AO12" s="76">
        <f>SUM(AN6:AN11)</f>
        <v>1913.0778142000001</v>
      </c>
      <c r="AQ12" s="162">
        <f t="shared" si="4"/>
        <v>0</v>
      </c>
      <c r="AV12" s="50" t="s">
        <v>25</v>
      </c>
      <c r="AW12" s="189">
        <f>AQ14</f>
        <v>8.3947066296653026E-3</v>
      </c>
      <c r="AX12" s="76">
        <f t="shared" si="5"/>
        <v>9.8889520227781365</v>
      </c>
      <c r="AZ12" s="50">
        <v>7.5</v>
      </c>
      <c r="BA12" s="50">
        <f t="shared" si="6"/>
        <v>7.4999999999999997E-2</v>
      </c>
      <c r="BB12" s="50">
        <v>0.86499999999999999</v>
      </c>
      <c r="BC12" s="50">
        <f t="shared" si="7"/>
        <v>6.4875000000000002E-2</v>
      </c>
      <c r="BD12" s="50">
        <v>43</v>
      </c>
      <c r="BE12" s="50">
        <f t="shared" si="8"/>
        <v>2.789625</v>
      </c>
      <c r="BF12" s="50">
        <v>73.367636682232202</v>
      </c>
      <c r="BG12" s="50">
        <f>0.06636778941357/1000</f>
        <v>6.6367789413569991E-5</v>
      </c>
      <c r="BH12" s="50">
        <f>2.52657658902305/1000</f>
        <v>2.5265765890230499E-3</v>
      </c>
      <c r="BI12" s="76">
        <f t="shared" si="9"/>
        <v>27.58646778654246</v>
      </c>
      <c r="BJ12" s="76">
        <f t="shared" si="10"/>
        <v>2023.9539459091495</v>
      </c>
      <c r="BK12" s="76">
        <f t="shared" si="10"/>
        <v>1.8308528847214823E-3</v>
      </c>
      <c r="BL12" s="76">
        <f t="shared" si="10"/>
        <v>6.9699323683316702E-2</v>
      </c>
      <c r="BN12" s="76">
        <f t="shared" si="11"/>
        <v>2042.4755305660008</v>
      </c>
      <c r="BO12" s="76">
        <f t="shared" si="12"/>
        <v>2042.8515006454268</v>
      </c>
      <c r="BP12" s="50">
        <v>2.72</v>
      </c>
      <c r="BQ12" s="50">
        <f t="shared" si="13"/>
        <v>2017346.21264674</v>
      </c>
      <c r="BR12" s="50">
        <f t="shared" si="14"/>
        <v>2017.34621264674</v>
      </c>
      <c r="BU12" s="50" t="s">
        <v>206</v>
      </c>
      <c r="BV12" s="50">
        <f>SUM(BR20:BR25)</f>
        <v>67262.354744252327</v>
      </c>
    </row>
    <row r="13" spans="1:74" ht="13.75" thickBot="1" x14ac:dyDescent="0.75">
      <c r="A13" s="828"/>
      <c r="B13" s="190" t="s">
        <v>18</v>
      </c>
      <c r="C13" s="191">
        <v>39072</v>
      </c>
      <c r="D13" s="192">
        <v>41329</v>
      </c>
      <c r="E13" s="193">
        <v>40381</v>
      </c>
      <c r="F13" s="194">
        <v>120782</v>
      </c>
      <c r="G13" s="195">
        <v>690618.38242838928</v>
      </c>
      <c r="H13" s="199"/>
      <c r="I13" s="186"/>
      <c r="J13" s="186"/>
      <c r="K13" s="186"/>
      <c r="L13" s="186"/>
      <c r="M13" s="197"/>
      <c r="Q13" s="50" t="s">
        <v>207</v>
      </c>
      <c r="S13" s="50">
        <v>4760</v>
      </c>
      <c r="W13" s="175" t="s">
        <v>169</v>
      </c>
      <c r="X13" s="198">
        <v>87423</v>
      </c>
      <c r="Y13" s="198">
        <v>38834</v>
      </c>
      <c r="Z13" s="177">
        <v>0.44</v>
      </c>
      <c r="AA13" s="176">
        <v>43.87</v>
      </c>
      <c r="AB13" s="178">
        <v>16013</v>
      </c>
      <c r="AD13" s="162">
        <f t="shared" ref="AD13:AE18" si="15">X13/X20</f>
        <v>0.32399888816825723</v>
      </c>
      <c r="AE13" s="162">
        <f t="shared" si="15"/>
        <v>0.30740125069263041</v>
      </c>
      <c r="AG13" s="76">
        <f t="shared" ref="AG13:AG18" si="16">AG20*AD13</f>
        <v>72575.426950801455</v>
      </c>
      <c r="AN13" s="76">
        <f t="shared" si="3"/>
        <v>1399.8651586499998</v>
      </c>
      <c r="AO13" s="164">
        <f t="shared" ref="AO13:AO18" si="17">AN13/$AO$19</f>
        <v>0.67154903551396572</v>
      </c>
      <c r="AQ13" s="162">
        <f t="shared" si="4"/>
        <v>0.33206503080050687</v>
      </c>
      <c r="AV13" s="50" t="s">
        <v>42</v>
      </c>
      <c r="AW13" s="189">
        <f>AQ28</f>
        <v>0</v>
      </c>
      <c r="AX13" s="76">
        <f t="shared" si="5"/>
        <v>0</v>
      </c>
      <c r="AZ13" s="50">
        <v>3.5</v>
      </c>
      <c r="BA13" s="50">
        <f t="shared" si="6"/>
        <v>3.5000000000000003E-2</v>
      </c>
      <c r="BB13" s="50">
        <v>0.75</v>
      </c>
      <c r="BC13" s="50">
        <f t="shared" si="7"/>
        <v>2.6250000000000002E-2</v>
      </c>
      <c r="BD13" s="50">
        <v>44.3</v>
      </c>
      <c r="BE13" s="50">
        <f t="shared" si="8"/>
        <v>1.1628750000000001</v>
      </c>
      <c r="BF13" s="50">
        <v>72.416541095972974</v>
      </c>
      <c r="BG13" s="50">
        <f>7.87852632644844/1000</f>
        <v>7.8785263264484397E-3</v>
      </c>
      <c r="BH13" s="50">
        <f>0.93521034397128/1000</f>
        <v>9.3521034397127997E-4</v>
      </c>
      <c r="BI13" s="76">
        <f>BE13*AX13</f>
        <v>0</v>
      </c>
      <c r="BJ13" s="76">
        <f>$BI13*BF13</f>
        <v>0</v>
      </c>
      <c r="BK13" s="76">
        <f t="shared" si="10"/>
        <v>0</v>
      </c>
      <c r="BL13" s="76">
        <f t="shared" si="10"/>
        <v>0</v>
      </c>
      <c r="BN13" s="76">
        <f t="shared" si="11"/>
        <v>0</v>
      </c>
      <c r="BO13" s="76">
        <f t="shared" si="12"/>
        <v>0</v>
      </c>
      <c r="BP13" s="50">
        <v>2.34</v>
      </c>
      <c r="BQ13" s="50">
        <f t="shared" si="13"/>
        <v>0</v>
      </c>
      <c r="BR13" s="50">
        <f t="shared" si="14"/>
        <v>0</v>
      </c>
    </row>
    <row r="14" spans="1:74" ht="13.75" thickBot="1" x14ac:dyDescent="0.75">
      <c r="A14" s="828"/>
      <c r="B14" s="190" t="s">
        <v>19</v>
      </c>
      <c r="C14" s="191">
        <v>34593</v>
      </c>
      <c r="D14" s="192">
        <v>38833</v>
      </c>
      <c r="E14" s="193">
        <v>38760.78330939178</v>
      </c>
      <c r="F14" s="194">
        <v>112186.78330939179</v>
      </c>
      <c r="G14" s="195">
        <v>802805.16573778109</v>
      </c>
      <c r="H14" s="199"/>
      <c r="I14" s="186"/>
      <c r="J14" s="186"/>
      <c r="K14" s="186"/>
      <c r="L14" s="186"/>
      <c r="M14" s="197"/>
      <c r="Q14" s="50" t="s">
        <v>208</v>
      </c>
      <c r="S14" s="50">
        <v>4438</v>
      </c>
      <c r="W14" s="157" t="s">
        <v>190</v>
      </c>
      <c r="X14" s="158">
        <v>1303</v>
      </c>
      <c r="Y14" s="160">
        <v>694</v>
      </c>
      <c r="Z14" s="159">
        <v>0.53</v>
      </c>
      <c r="AA14" s="160">
        <v>74.41</v>
      </c>
      <c r="AB14" s="161">
        <v>27158</v>
      </c>
      <c r="AD14" s="162">
        <f t="shared" si="15"/>
        <v>0.94011544011544013</v>
      </c>
      <c r="AE14" s="162">
        <f t="shared" si="15"/>
        <v>0.91436100131752307</v>
      </c>
      <c r="AG14" s="76">
        <f t="shared" si="16"/>
        <v>871.48701298701303</v>
      </c>
      <c r="AN14" s="76">
        <f t="shared" si="3"/>
        <v>35.389023949999995</v>
      </c>
      <c r="AO14" s="164">
        <f t="shared" si="17"/>
        <v>1.6976967213272198E-2</v>
      </c>
      <c r="AQ14" s="162">
        <f t="shared" si="4"/>
        <v>8.3947066296653026E-3</v>
      </c>
      <c r="AU14" s="50" t="s">
        <v>209</v>
      </c>
      <c r="AV14" s="50" t="s">
        <v>158</v>
      </c>
      <c r="AW14" s="189">
        <f>AQ9</f>
        <v>1.5833047042734801E-2</v>
      </c>
      <c r="AX14" s="76">
        <f t="shared" si="5"/>
        <v>18.651306053590613</v>
      </c>
      <c r="AZ14" s="50">
        <v>8</v>
      </c>
      <c r="BA14" s="50">
        <f t="shared" si="6"/>
        <v>0.08</v>
      </c>
      <c r="BB14" s="50">
        <v>0.75</v>
      </c>
      <c r="BC14" s="50">
        <f t="shared" si="7"/>
        <v>0.06</v>
      </c>
      <c r="BD14" s="50">
        <v>44.3</v>
      </c>
      <c r="BE14" s="50">
        <f t="shared" si="8"/>
        <v>2.6579999999999999</v>
      </c>
      <c r="BF14" s="50">
        <v>72.513754762763227</v>
      </c>
      <c r="BG14" s="50">
        <f>6.43681969225972/1000</f>
        <v>6.4368196922597199E-3</v>
      </c>
      <c r="BH14" s="50">
        <f>1.22219082236233/1000</f>
        <v>1.2221908223623299E-3</v>
      </c>
      <c r="BI14" s="76">
        <f t="shared" si="9"/>
        <v>49.57517149044385</v>
      </c>
      <c r="BJ14" s="76">
        <f t="shared" si="10"/>
        <v>3594.8818277799764</v>
      </c>
      <c r="BK14" s="76">
        <f t="shared" si="10"/>
        <v>0.31910644009684164</v>
      </c>
      <c r="BL14" s="76">
        <f t="shared" si="10"/>
        <v>6.0590319612659101E-2</v>
      </c>
      <c r="BN14" s="76">
        <f t="shared" si="11"/>
        <v>3619.8732428000426</v>
      </c>
      <c r="BO14" s="76">
        <f t="shared" si="12"/>
        <v>3620.5395734415806</v>
      </c>
      <c r="BP14" s="50">
        <v>2.34</v>
      </c>
      <c r="BQ14" s="50">
        <f t="shared" si="13"/>
        <v>3491524.4932321627</v>
      </c>
      <c r="BR14" s="50">
        <f t="shared" si="14"/>
        <v>3491.5244932321625</v>
      </c>
      <c r="BU14" s="76">
        <f>BR27-BR9-BR12-BR15-BR18-BR21-BR24</f>
        <v>100514.14523687241</v>
      </c>
    </row>
    <row r="15" spans="1:74" ht="13.75" thickBot="1" x14ac:dyDescent="0.75">
      <c r="A15" s="828"/>
      <c r="B15" s="190" t="s">
        <v>20</v>
      </c>
      <c r="C15" s="191">
        <v>38566</v>
      </c>
      <c r="D15" s="192">
        <v>40513</v>
      </c>
      <c r="E15" s="193">
        <v>39439.63451437137</v>
      </c>
      <c r="F15" s="194">
        <v>118518.63451437137</v>
      </c>
      <c r="G15" s="195">
        <v>921323.80025215249</v>
      </c>
      <c r="H15" s="199"/>
      <c r="I15" s="186"/>
      <c r="J15" s="186"/>
      <c r="K15" s="186"/>
      <c r="L15" s="186"/>
      <c r="M15" s="197"/>
      <c r="Q15" s="50" t="s">
        <v>210</v>
      </c>
      <c r="S15" s="50">
        <v>4152</v>
      </c>
      <c r="W15" s="175" t="s">
        <v>193</v>
      </c>
      <c r="X15" s="198">
        <v>1765</v>
      </c>
      <c r="Y15" s="176">
        <v>983</v>
      </c>
      <c r="Z15" s="177">
        <v>0.56000000000000005</v>
      </c>
      <c r="AA15" s="176">
        <v>127.72</v>
      </c>
      <c r="AB15" s="178">
        <v>46616</v>
      </c>
      <c r="AD15" s="162">
        <f t="shared" si="15"/>
        <v>0.9849330357142857</v>
      </c>
      <c r="AE15" s="162">
        <f t="shared" si="15"/>
        <v>0.99493927125506076</v>
      </c>
      <c r="AG15" s="76">
        <f t="shared" si="16"/>
        <v>1140.5524553571429</v>
      </c>
      <c r="AN15" s="76">
        <f t="shared" si="3"/>
        <v>82.280417</v>
      </c>
      <c r="AO15" s="164">
        <f t="shared" si="17"/>
        <v>3.9471897944316284E-2</v>
      </c>
      <c r="AQ15" s="162">
        <f t="shared" si="4"/>
        <v>1.9517915019567126E-2</v>
      </c>
      <c r="AV15" s="50" t="s">
        <v>25</v>
      </c>
      <c r="AW15" s="189">
        <f>AQ16</f>
        <v>7.5325966509435613E-2</v>
      </c>
      <c r="AX15" s="76">
        <f t="shared" si="5"/>
        <v>88.733877399465541</v>
      </c>
      <c r="AZ15" s="50">
        <v>7</v>
      </c>
      <c r="BA15" s="50">
        <f t="shared" si="6"/>
        <v>7.0000000000000007E-2</v>
      </c>
      <c r="BB15" s="50">
        <v>0.86499999999999999</v>
      </c>
      <c r="BC15" s="50">
        <f t="shared" si="7"/>
        <v>6.0550000000000007E-2</v>
      </c>
      <c r="BD15" s="50">
        <v>43</v>
      </c>
      <c r="BE15" s="50">
        <f t="shared" si="8"/>
        <v>2.6036500000000005</v>
      </c>
      <c r="BF15" s="50">
        <v>73.367561400348293</v>
      </c>
      <c r="BG15" s="50">
        <f>0.36897495946676/1000</f>
        <v>3.6897495946676E-4</v>
      </c>
      <c r="BH15" s="50">
        <f>2.09444904821954/1000</f>
        <v>2.0944490482195399E-3</v>
      </c>
      <c r="BI15" s="76">
        <f t="shared" si="9"/>
        <v>231.0319598911185</v>
      </c>
      <c r="BJ15" s="76">
        <f t="shared" si="10"/>
        <v>16950.25150275444</v>
      </c>
      <c r="BK15" s="76">
        <f t="shared" si="10"/>
        <v>8.5245008036351572E-2</v>
      </c>
      <c r="BL15" s="76">
        <f t="shared" si="10"/>
        <v>0.48388466850224804</v>
      </c>
      <c r="BN15" s="76">
        <f t="shared" si="11"/>
        <v>17080.867800132553</v>
      </c>
      <c r="BO15" s="76">
        <f t="shared" si="12"/>
        <v>17084.011972548516</v>
      </c>
      <c r="BP15" s="50">
        <v>2.72</v>
      </c>
      <c r="BQ15" s="50">
        <f t="shared" si="13"/>
        <v>16894930.256858241</v>
      </c>
      <c r="BR15" s="50">
        <f t="shared" si="14"/>
        <v>16894.930256858243</v>
      </c>
      <c r="BU15" s="76">
        <f>BR27-BU14</f>
        <v>176764.78939410375</v>
      </c>
    </row>
    <row r="16" spans="1:74" ht="13.75" thickBot="1" x14ac:dyDescent="0.75">
      <c r="A16" s="828"/>
      <c r="B16" s="190" t="s">
        <v>211</v>
      </c>
      <c r="C16" s="191">
        <v>41254</v>
      </c>
      <c r="D16" s="192">
        <v>41184</v>
      </c>
      <c r="E16" s="193">
        <v>38954</v>
      </c>
      <c r="F16" s="194">
        <v>121392</v>
      </c>
      <c r="G16" s="195">
        <v>1042715.8002521525</v>
      </c>
      <c r="H16" s="150"/>
      <c r="I16" s="203"/>
      <c r="J16" s="203"/>
      <c r="K16" s="203"/>
      <c r="L16" s="203"/>
      <c r="M16" s="204"/>
      <c r="Q16" s="50" t="s">
        <v>212</v>
      </c>
      <c r="S16" s="50">
        <v>3802</v>
      </c>
      <c r="W16" s="157" t="s">
        <v>197</v>
      </c>
      <c r="X16" s="158">
        <v>22222</v>
      </c>
      <c r="Y16" s="158">
        <v>11391</v>
      </c>
      <c r="Z16" s="159">
        <v>0.51</v>
      </c>
      <c r="AA16" s="160">
        <v>39.15</v>
      </c>
      <c r="AB16" s="161">
        <v>14288</v>
      </c>
      <c r="AD16" s="162">
        <f t="shared" si="15"/>
        <v>0.76789108123984939</v>
      </c>
      <c r="AE16" s="162">
        <f t="shared" si="15"/>
        <v>0.77258545849158977</v>
      </c>
      <c r="AG16" s="76">
        <f t="shared" si="16"/>
        <v>17657.655413110337</v>
      </c>
      <c r="AN16" s="76">
        <f t="shared" si="3"/>
        <v>317.54682450000001</v>
      </c>
      <c r="AO16" s="164">
        <f t="shared" si="17"/>
        <v>0.15233486054410386</v>
      </c>
      <c r="AQ16" s="162">
        <f t="shared" si="4"/>
        <v>7.5325966509435613E-2</v>
      </c>
      <c r="AV16" s="50" t="s">
        <v>42</v>
      </c>
      <c r="AW16" s="189">
        <f>AQ30</f>
        <v>1.1314731336967924E-3</v>
      </c>
      <c r="AX16" s="76">
        <f t="shared" si="5"/>
        <v>1.3328736819283131</v>
      </c>
      <c r="AZ16" s="50">
        <v>4</v>
      </c>
      <c r="BA16" s="50">
        <f t="shared" si="6"/>
        <v>0.04</v>
      </c>
      <c r="BB16" s="50">
        <v>0.75</v>
      </c>
      <c r="BC16" s="50">
        <f t="shared" si="7"/>
        <v>0.03</v>
      </c>
      <c r="BD16" s="50">
        <v>44.3</v>
      </c>
      <c r="BE16" s="50">
        <f t="shared" si="8"/>
        <v>1.329</v>
      </c>
      <c r="BF16" s="50">
        <v>72.513754762763227</v>
      </c>
      <c r="BG16" s="50">
        <f>6.43681969225972/1000</f>
        <v>6.4368196922597199E-3</v>
      </c>
      <c r="BH16" s="50">
        <f>1.22219082236233/1000</f>
        <v>1.2221908223623299E-3</v>
      </c>
      <c r="BI16" s="76">
        <f t="shared" si="9"/>
        <v>1.7713891232827281</v>
      </c>
      <c r="BJ16" s="76">
        <f t="shared" si="10"/>
        <v>128.4500764751499</v>
      </c>
      <c r="BK16" s="76">
        <f t="shared" si="10"/>
        <v>1.1402112391400945E-2</v>
      </c>
      <c r="BL16" s="76">
        <f t="shared" si="10"/>
        <v>2.1649755293086039E-3</v>
      </c>
      <c r="BN16" s="76">
        <f t="shared" si="11"/>
        <v>129.34305413737593</v>
      </c>
      <c r="BO16" s="76">
        <f t="shared" si="12"/>
        <v>129.3668630484789</v>
      </c>
      <c r="BP16" s="50">
        <v>2.34</v>
      </c>
      <c r="BQ16" s="50">
        <f t="shared" si="13"/>
        <v>124756.97662849011</v>
      </c>
      <c r="BR16" s="50">
        <f t="shared" si="14"/>
        <v>124.75697662849011</v>
      </c>
    </row>
    <row r="17" spans="1:71" ht="13.75" thickBot="1" x14ac:dyDescent="0.75">
      <c r="A17" s="828"/>
      <c r="B17" s="190" t="s">
        <v>213</v>
      </c>
      <c r="C17" s="191">
        <v>39454</v>
      </c>
      <c r="D17" s="192">
        <v>39405</v>
      </c>
      <c r="E17" s="193">
        <v>37215</v>
      </c>
      <c r="F17" s="194">
        <v>116074</v>
      </c>
      <c r="G17" s="195">
        <v>1158789.8002521526</v>
      </c>
      <c r="H17" s="150"/>
      <c r="I17" s="203"/>
      <c r="J17" s="203"/>
      <c r="K17" s="203"/>
      <c r="L17" s="203"/>
      <c r="M17" s="204"/>
      <c r="Q17" s="50" t="s">
        <v>214</v>
      </c>
      <c r="S17" s="50">
        <v>3576</v>
      </c>
      <c r="W17" s="175" t="s">
        <v>199</v>
      </c>
      <c r="X17" s="198">
        <v>5250</v>
      </c>
      <c r="Y17" s="198">
        <v>2769</v>
      </c>
      <c r="Z17" s="177">
        <v>0.53</v>
      </c>
      <c r="AA17" s="176">
        <v>40.729999999999997</v>
      </c>
      <c r="AB17" s="178">
        <v>14865</v>
      </c>
      <c r="AD17" s="162">
        <f t="shared" si="15"/>
        <v>0.89179548156956001</v>
      </c>
      <c r="AE17" s="162">
        <f t="shared" si="15"/>
        <v>0.94601981551076186</v>
      </c>
      <c r="AG17" s="76">
        <f t="shared" si="16"/>
        <v>3390.6064209274673</v>
      </c>
      <c r="AN17" s="76">
        <f t="shared" si="3"/>
        <v>78.048862499999984</v>
      </c>
      <c r="AO17" s="164">
        <f t="shared" si="17"/>
        <v>3.7441919324132419E-2</v>
      </c>
      <c r="AQ17" s="162">
        <f t="shared" si="4"/>
        <v>1.8514138858203393E-2</v>
      </c>
      <c r="AU17" s="50" t="s">
        <v>215</v>
      </c>
      <c r="AV17" s="50" t="s">
        <v>158</v>
      </c>
      <c r="AW17" s="189">
        <f>AQ8</f>
        <v>4.1611518993850573E-5</v>
      </c>
      <c r="AX17" s="76">
        <f t="shared" si="5"/>
        <v>4.9018307974094837E-2</v>
      </c>
      <c r="AZ17" s="50">
        <v>40</v>
      </c>
      <c r="BA17" s="50">
        <f t="shared" si="6"/>
        <v>0.4</v>
      </c>
      <c r="BB17" s="50">
        <v>0.75</v>
      </c>
      <c r="BC17" s="50">
        <f t="shared" si="7"/>
        <v>0.30000000000000004</v>
      </c>
      <c r="BD17" s="50">
        <v>44.3</v>
      </c>
      <c r="BE17" s="50">
        <f t="shared" si="8"/>
        <v>13.290000000000001</v>
      </c>
      <c r="BF17" s="50">
        <v>72.512080209241503</v>
      </c>
      <c r="BG17" s="50">
        <f>15.8206501432308/1000</f>
        <v>1.5820650143230801E-2</v>
      </c>
      <c r="BH17" s="50">
        <f>0.84755262174617/1000</f>
        <v>8.4755262174616996E-4</v>
      </c>
      <c r="BI17" s="76">
        <f t="shared" si="9"/>
        <v>0.6514533129757204</v>
      </c>
      <c r="BJ17" s="76">
        <f>$BI17*BF17</f>
        <v>47.238234883071549</v>
      </c>
      <c r="BK17" s="76">
        <f t="shared" si="10"/>
        <v>1.0306414949237511E-2</v>
      </c>
      <c r="BL17" s="76">
        <f t="shared" si="10"/>
        <v>5.5214096335780001E-4</v>
      </c>
      <c r="BN17" s="76">
        <f t="shared" si="11"/>
        <v>47.673131856940017</v>
      </c>
      <c r="BO17" s="76">
        <f t="shared" si="12"/>
        <v>47.681907321273627</v>
      </c>
      <c r="BP17" s="50">
        <v>2.34</v>
      </c>
      <c r="BQ17" s="50">
        <f t="shared" si="13"/>
        <v>45881.136263752764</v>
      </c>
      <c r="BR17" s="50">
        <f t="shared" si="14"/>
        <v>45.881136263752765</v>
      </c>
    </row>
    <row r="18" spans="1:71" ht="13.75" thickBot="1" x14ac:dyDescent="0.75">
      <c r="A18" s="828"/>
      <c r="B18" s="190" t="s">
        <v>216</v>
      </c>
      <c r="C18" s="191">
        <v>39646</v>
      </c>
      <c r="D18" s="192">
        <v>41051</v>
      </c>
      <c r="E18" s="193">
        <v>37101</v>
      </c>
      <c r="F18" s="194">
        <v>117798</v>
      </c>
      <c r="G18" s="195">
        <v>1276587.8002521526</v>
      </c>
      <c r="H18" s="150"/>
      <c r="I18" s="203"/>
      <c r="J18" s="203"/>
      <c r="K18" s="203"/>
      <c r="L18" s="203"/>
      <c r="M18" s="204"/>
      <c r="Q18" s="50" t="s">
        <v>200</v>
      </c>
      <c r="S18" s="50">
        <v>3113</v>
      </c>
      <c r="W18" s="157" t="s">
        <v>201</v>
      </c>
      <c r="X18" s="158">
        <v>6919</v>
      </c>
      <c r="Y18" s="158">
        <v>3391</v>
      </c>
      <c r="Z18" s="159">
        <v>0.49</v>
      </c>
      <c r="AA18" s="160">
        <v>67.87</v>
      </c>
      <c r="AB18" s="161">
        <v>24772</v>
      </c>
      <c r="AD18" s="162">
        <f t="shared" si="15"/>
        <v>0.99396638414020977</v>
      </c>
      <c r="AE18" s="162">
        <f t="shared" si="15"/>
        <v>0.99793996468510893</v>
      </c>
      <c r="AG18" s="76">
        <f t="shared" si="16"/>
        <v>4126.9484269501509</v>
      </c>
      <c r="AN18" s="76">
        <f t="shared" si="3"/>
        <v>171.40127345000002</v>
      </c>
      <c r="AO18" s="164">
        <f t="shared" si="17"/>
        <v>8.2225319460209459E-2</v>
      </c>
      <c r="AQ18" s="162">
        <f t="shared" si="4"/>
        <v>4.0658465421276213E-2</v>
      </c>
      <c r="AV18" s="50" t="s">
        <v>25</v>
      </c>
      <c r="AW18" s="189">
        <f>AQ15</f>
        <v>1.9517915019567126E-2</v>
      </c>
      <c r="AX18" s="76">
        <f t="shared" si="5"/>
        <v>22.992075093022699</v>
      </c>
      <c r="AZ18" s="50">
        <v>38</v>
      </c>
      <c r="BA18" s="50">
        <f t="shared" si="6"/>
        <v>0.38</v>
      </c>
      <c r="BB18" s="50">
        <v>0.86499999999999999</v>
      </c>
      <c r="BC18" s="50">
        <f t="shared" si="7"/>
        <v>0.32869999999999999</v>
      </c>
      <c r="BD18" s="50">
        <v>43</v>
      </c>
      <c r="BE18" s="50">
        <f t="shared" si="8"/>
        <v>14.1341</v>
      </c>
      <c r="BF18" s="50">
        <v>73.367479939063315</v>
      </c>
      <c r="BG18" s="50">
        <f>2.07749454663654/1000</f>
        <v>2.0774945466365403E-3</v>
      </c>
      <c r="BH18" s="50">
        <f>2.35970659533889/1000</f>
        <v>2.3597065953388898E-3</v>
      </c>
      <c r="BI18" s="76">
        <f t="shared" si="9"/>
        <v>324.97228857229214</v>
      </c>
      <c r="BJ18" s="76">
        <f t="shared" si="10"/>
        <v>23842.397862579139</v>
      </c>
      <c r="BK18" s="76">
        <f>$BI18*BG18</f>
        <v>0.67512815731693299</v>
      </c>
      <c r="BL18" s="76">
        <f t="shared" si="10"/>
        <v>0.76683925264641073</v>
      </c>
      <c r="BN18" s="76">
        <f t="shared" si="11"/>
        <v>24064.513852935313</v>
      </c>
      <c r="BO18" s="76">
        <f t="shared" si="12"/>
        <v>24068.94354477213</v>
      </c>
      <c r="BP18" s="50">
        <v>2.72</v>
      </c>
      <c r="BQ18" s="50">
        <f t="shared" si="13"/>
        <v>23764608.816148266</v>
      </c>
      <c r="BR18" s="50">
        <f t="shared" si="14"/>
        <v>23764.608816148266</v>
      </c>
    </row>
    <row r="19" spans="1:71" ht="13.75" thickBot="1" x14ac:dyDescent="0.75">
      <c r="A19" s="829"/>
      <c r="B19" s="205" t="s">
        <v>217</v>
      </c>
      <c r="C19" s="206">
        <v>40180</v>
      </c>
      <c r="D19" s="207">
        <v>42745</v>
      </c>
      <c r="E19" s="208">
        <v>36800</v>
      </c>
      <c r="F19" s="209">
        <v>119725</v>
      </c>
      <c r="G19" s="195">
        <v>1396312.8002521526</v>
      </c>
      <c r="H19" s="150"/>
      <c r="I19" s="203"/>
      <c r="J19" s="203"/>
      <c r="K19" s="203"/>
      <c r="L19" s="203"/>
      <c r="M19" s="204"/>
      <c r="W19" s="849" t="s">
        <v>218</v>
      </c>
      <c r="X19" s="850"/>
      <c r="Y19" s="850"/>
      <c r="Z19" s="850"/>
      <c r="AA19" s="850"/>
      <c r="AB19" s="851"/>
      <c r="AG19" s="50" t="s">
        <v>219</v>
      </c>
      <c r="AN19" s="76"/>
      <c r="AO19" s="76">
        <f>SUM(AN13:AN18)</f>
        <v>2084.5315600499998</v>
      </c>
      <c r="AQ19" s="162">
        <f t="shared" si="4"/>
        <v>0</v>
      </c>
      <c r="AV19" s="50" t="s">
        <v>42</v>
      </c>
      <c r="AW19" s="189">
        <f>AQ29</f>
        <v>1.4564031647847702E-4</v>
      </c>
      <c r="AX19" s="76">
        <f t="shared" si="5"/>
        <v>0.17156407790933195</v>
      </c>
      <c r="AZ19" s="50">
        <v>18</v>
      </c>
      <c r="BA19" s="50">
        <f t="shared" si="6"/>
        <v>0.18</v>
      </c>
      <c r="BB19" s="50">
        <v>0.75</v>
      </c>
      <c r="BC19" s="50">
        <f t="shared" si="7"/>
        <v>0.13500000000000001</v>
      </c>
      <c r="BD19" s="50">
        <v>44.3</v>
      </c>
      <c r="BE19" s="50">
        <f t="shared" si="8"/>
        <v>5.9805000000000001</v>
      </c>
      <c r="BF19" s="50">
        <v>72.512080209241503</v>
      </c>
      <c r="BG19" s="50">
        <f>15.8206501432308/1000</f>
        <v>1.5820650143230801E-2</v>
      </c>
      <c r="BH19" s="50">
        <f>0.84755262174617/1000</f>
        <v>8.4755262174616996E-4</v>
      </c>
      <c r="BI19" s="76">
        <f t="shared" si="9"/>
        <v>1.0260389679367599</v>
      </c>
      <c r="BJ19" s="76">
        <f t="shared" si="10"/>
        <v>74.400219940837701</v>
      </c>
      <c r="BK19" s="76">
        <f t="shared" si="10"/>
        <v>1.6232603545049084E-2</v>
      </c>
      <c r="BL19" s="76">
        <f t="shared" si="10"/>
        <v>8.696220172885352E-4</v>
      </c>
      <c r="BN19" s="76">
        <f t="shared" si="11"/>
        <v>75.085182674680539</v>
      </c>
      <c r="BO19" s="76">
        <f t="shared" si="12"/>
        <v>75.099004031005961</v>
      </c>
      <c r="BP19" s="50">
        <v>2.34</v>
      </c>
      <c r="BQ19" s="50">
        <f t="shared" si="13"/>
        <v>72262.789615410598</v>
      </c>
      <c r="BR19" s="50">
        <f t="shared" si="14"/>
        <v>72.262789615410597</v>
      </c>
    </row>
    <row r="20" spans="1:71" ht="13.75" thickBot="1" x14ac:dyDescent="0.75">
      <c r="A20" s="210" t="s">
        <v>220</v>
      </c>
      <c r="B20" s="211"/>
      <c r="C20" s="212">
        <v>39154.089654148054</v>
      </c>
      <c r="D20" s="212">
        <v>39736.608881551052</v>
      </c>
      <c r="E20" s="212">
        <v>37468.701485313599</v>
      </c>
      <c r="F20" s="213">
        <v>116359.40002101271</v>
      </c>
      <c r="G20" s="213"/>
      <c r="H20" s="214"/>
      <c r="I20" s="215"/>
      <c r="J20" s="215"/>
      <c r="K20" s="215"/>
      <c r="L20" s="215"/>
      <c r="M20" s="216"/>
      <c r="W20" s="157" t="s">
        <v>169</v>
      </c>
      <c r="X20" s="158">
        <v>269825</v>
      </c>
      <c r="Y20" s="158">
        <v>126330</v>
      </c>
      <c r="Z20" s="159">
        <v>0.47</v>
      </c>
      <c r="AA20" s="160">
        <v>35.020000000000003</v>
      </c>
      <c r="AB20" s="161">
        <v>12781</v>
      </c>
      <c r="AD20" s="162">
        <f t="shared" ref="AD20:AD25" si="18">X20/$X$26</f>
        <v>0.85715874074780007</v>
      </c>
      <c r="AE20" s="162">
        <f>(X20-X13-X6)/X20</f>
        <v>7.0334476049291203E-2</v>
      </c>
      <c r="AG20" s="50">
        <f>S7</f>
        <v>223999</v>
      </c>
      <c r="AI20" s="162">
        <f t="shared" ref="AI20:AI25" si="19">AG20/$AG$26</f>
        <v>0.87147953764691688</v>
      </c>
      <c r="AN20" s="76">
        <f>AA20*X20*365/1000000</f>
        <v>3448.9840975000002</v>
      </c>
      <c r="AO20" s="164">
        <f t="shared" ref="AO20:AO25" si="20">AN20/$AO$26</f>
        <v>0.81814094985497487</v>
      </c>
      <c r="AQ20" s="162">
        <f t="shared" si="4"/>
        <v>0.81814094985497487</v>
      </c>
      <c r="AU20" s="50" t="str">
        <f>W10</f>
        <v>Vörubifreiðar ≤12t</v>
      </c>
      <c r="AV20" s="50" t="s">
        <v>158</v>
      </c>
      <c r="AW20" s="189">
        <f>AQ10</f>
        <v>1.2084570413085115E-3</v>
      </c>
      <c r="AX20" s="76">
        <f t="shared" si="5"/>
        <v>1.4235606114998625</v>
      </c>
      <c r="AZ20" s="50">
        <v>30</v>
      </c>
      <c r="BA20" s="50">
        <f t="shared" si="6"/>
        <v>0.3</v>
      </c>
      <c r="BB20" s="50">
        <v>0.75</v>
      </c>
      <c r="BC20" s="50">
        <f t="shared" si="7"/>
        <v>0.22499999999999998</v>
      </c>
      <c r="BD20" s="50">
        <v>44.3</v>
      </c>
      <c r="BE20" s="50">
        <f t="shared" si="8"/>
        <v>9.9674999999999976</v>
      </c>
      <c r="BF20" s="50">
        <v>72.513754762763227</v>
      </c>
      <c r="BG20" s="50">
        <f>6.43681969225972/1000</f>
        <v>6.4368196922597199E-3</v>
      </c>
      <c r="BH20" s="50">
        <f>1.22219082236233/1000</f>
        <v>1.2221908223623299E-3</v>
      </c>
      <c r="BI20" s="76">
        <f t="shared" si="9"/>
        <v>14.189340395124876</v>
      </c>
      <c r="BJ20" s="76">
        <f t="shared" si="10"/>
        <v>1028.9223496574552</v>
      </c>
      <c r="BK20" s="76">
        <f t="shared" si="10"/>
        <v>9.133422567551612E-2</v>
      </c>
      <c r="BL20" s="76">
        <f t="shared" si="10"/>
        <v>1.7342081606296699E-2</v>
      </c>
      <c r="BN20" s="76">
        <f t="shared" si="11"/>
        <v>1036.0753596020381</v>
      </c>
      <c r="BO20" s="76">
        <f t="shared" si="12"/>
        <v>1036.2660758820678</v>
      </c>
      <c r="BP20" s="50">
        <v>2.34</v>
      </c>
      <c r="BQ20" s="50">
        <f t="shared" si="13"/>
        <v>999339.54927290336</v>
      </c>
      <c r="BR20" s="50">
        <f t="shared" si="14"/>
        <v>999.33954927290335</v>
      </c>
    </row>
    <row r="21" spans="1:71" ht="13.75" thickBot="1" x14ac:dyDescent="0.75">
      <c r="A21" s="828">
        <v>2006</v>
      </c>
      <c r="B21" s="217" t="s">
        <v>191</v>
      </c>
      <c r="C21" s="180">
        <v>37989</v>
      </c>
      <c r="D21" s="181">
        <v>38437</v>
      </c>
      <c r="E21" s="182">
        <v>34682</v>
      </c>
      <c r="F21" s="183">
        <v>111108</v>
      </c>
      <c r="G21" s="184">
        <v>111108</v>
      </c>
      <c r="H21" s="839" t="s">
        <v>221</v>
      </c>
      <c r="I21" s="218">
        <v>2.7729682934747323E-2</v>
      </c>
      <c r="J21" s="219">
        <v>7.1027113828670246E-2</v>
      </c>
      <c r="K21" s="220">
        <v>6.2644656554256883E-2</v>
      </c>
      <c r="L21" s="221">
        <v>6.2644656554256883E-2</v>
      </c>
      <c r="M21" s="222">
        <v>6.2644656554256883E-2</v>
      </c>
      <c r="Q21" s="50" t="s">
        <v>222</v>
      </c>
      <c r="S21" s="50">
        <v>927</v>
      </c>
      <c r="W21" s="175" t="s">
        <v>190</v>
      </c>
      <c r="X21" s="198">
        <v>1386</v>
      </c>
      <c r="Y21" s="176">
        <v>759</v>
      </c>
      <c r="Z21" s="177">
        <v>0.55000000000000004</v>
      </c>
      <c r="AA21" s="176">
        <v>70.17</v>
      </c>
      <c r="AB21" s="178">
        <v>25613</v>
      </c>
      <c r="AD21" s="162">
        <f t="shared" si="18"/>
        <v>4.4029352901934623E-3</v>
      </c>
      <c r="AE21" s="162">
        <f>(Y21-Y14-Y7)/Y21</f>
        <v>0</v>
      </c>
      <c r="AG21" s="50">
        <v>927</v>
      </c>
      <c r="AI21" s="162">
        <f t="shared" si="19"/>
        <v>3.606540794372707E-3</v>
      </c>
      <c r="AN21" s="76">
        <f t="shared" si="3"/>
        <v>35.498301299999994</v>
      </c>
      <c r="AO21" s="164">
        <f t="shared" si="20"/>
        <v>8.420628545336482E-3</v>
      </c>
      <c r="AQ21" s="162">
        <f t="shared" si="4"/>
        <v>8.420628545336482E-3</v>
      </c>
      <c r="AV21" s="50" t="s">
        <v>25</v>
      </c>
      <c r="AW21" s="189">
        <f>AQ17</f>
        <v>1.8514138858203393E-2</v>
      </c>
      <c r="AX21" s="76">
        <f t="shared" si="5"/>
        <v>21.809628256077055</v>
      </c>
      <c r="AZ21" s="50">
        <v>26</v>
      </c>
      <c r="BA21" s="50">
        <f t="shared" si="6"/>
        <v>0.26</v>
      </c>
      <c r="BB21" s="50">
        <v>0.86499999999999999</v>
      </c>
      <c r="BC21" s="50">
        <f t="shared" si="7"/>
        <v>0.22490000000000002</v>
      </c>
      <c r="BD21" s="50">
        <v>43</v>
      </c>
      <c r="BE21" s="50">
        <f t="shared" si="8"/>
        <v>9.6707000000000001</v>
      </c>
      <c r="BF21" s="50">
        <v>73.367561400348293</v>
      </c>
      <c r="BG21" s="50">
        <f>0.36897495946676/1000</f>
        <v>3.6897495946676E-4</v>
      </c>
      <c r="BH21" s="50">
        <f>2.09444904821954/1000</f>
        <v>2.0944490482195399E-3</v>
      </c>
      <c r="BI21" s="76">
        <f t="shared" si="9"/>
        <v>210.91437197604438</v>
      </c>
      <c r="BJ21" s="76">
        <f t="shared" si="10"/>
        <v>15474.273136168335</v>
      </c>
      <c r="BK21" s="76">
        <f t="shared" si="10"/>
        <v>7.7822121850818118E-2</v>
      </c>
      <c r="BL21" s="76">
        <f t="shared" si="10"/>
        <v>0.44174940564104814</v>
      </c>
      <c r="BN21" s="76">
        <f t="shared" si="11"/>
        <v>15593.515748075035</v>
      </c>
      <c r="BO21" s="76">
        <f t="shared" si="12"/>
        <v>15596.386135145332</v>
      </c>
      <c r="BP21" s="50">
        <v>2.72</v>
      </c>
      <c r="BQ21" s="50">
        <f t="shared" si="13"/>
        <v>15423769.102697695</v>
      </c>
      <c r="BR21" s="50">
        <f t="shared" si="14"/>
        <v>15423.769102697695</v>
      </c>
    </row>
    <row r="22" spans="1:71" ht="13.75" thickBot="1" x14ac:dyDescent="0.75">
      <c r="A22" s="828"/>
      <c r="B22" s="190" t="s">
        <v>195</v>
      </c>
      <c r="C22" s="191">
        <v>40907</v>
      </c>
      <c r="D22" s="192">
        <v>40671</v>
      </c>
      <c r="E22" s="193">
        <v>37501</v>
      </c>
      <c r="F22" s="194">
        <v>119079</v>
      </c>
      <c r="G22" s="195">
        <v>230187</v>
      </c>
      <c r="H22" s="839"/>
      <c r="I22" s="223">
        <v>2.7659146862282068E-2</v>
      </c>
      <c r="J22" s="224">
        <v>6.4039269095448867E-2</v>
      </c>
      <c r="K22" s="225">
        <v>6.2061931004768756E-2</v>
      </c>
      <c r="L22" s="226">
        <v>6.2061931004768756E-2</v>
      </c>
      <c r="M22" s="227">
        <v>6.2343124549252948E-2</v>
      </c>
      <c r="Q22" s="50" t="s">
        <v>223</v>
      </c>
      <c r="S22" s="50">
        <v>1158</v>
      </c>
      <c r="W22" s="157" t="s">
        <v>193</v>
      </c>
      <c r="X22" s="158">
        <v>1792</v>
      </c>
      <c r="Y22" s="160">
        <v>988</v>
      </c>
      <c r="Z22" s="159">
        <v>0.55000000000000004</v>
      </c>
      <c r="AA22" s="160">
        <v>127.43</v>
      </c>
      <c r="AB22" s="161">
        <v>46511</v>
      </c>
      <c r="AD22" s="162">
        <f t="shared" si="18"/>
        <v>5.6926840115632642E-3</v>
      </c>
      <c r="AE22" s="162">
        <f>(Y22-Y15-Y8)/Y22</f>
        <v>1.0121457489878543E-3</v>
      </c>
      <c r="AG22" s="50">
        <v>1158</v>
      </c>
      <c r="AI22" s="162">
        <f t="shared" si="19"/>
        <v>4.5052580797018283E-3</v>
      </c>
      <c r="AN22" s="76">
        <f t="shared" si="3"/>
        <v>83.349414400000001</v>
      </c>
      <c r="AO22" s="164">
        <f t="shared" si="20"/>
        <v>1.9771494196363693E-2</v>
      </c>
      <c r="AQ22" s="162">
        <f t="shared" si="4"/>
        <v>1.9771494196363693E-2</v>
      </c>
      <c r="AV22" s="50" t="s">
        <v>42</v>
      </c>
      <c r="AW22" s="189">
        <f>AQ31</f>
        <v>3.8061639096331075E-6</v>
      </c>
      <c r="AX22" s="76">
        <f t="shared" si="5"/>
        <v>4.4836554692909061E-3</v>
      </c>
      <c r="AZ22" s="50">
        <v>18</v>
      </c>
      <c r="BA22" s="50">
        <f t="shared" si="6"/>
        <v>0.18</v>
      </c>
      <c r="BB22" s="50">
        <v>0.75</v>
      </c>
      <c r="BC22" s="50">
        <f t="shared" si="7"/>
        <v>0.13500000000000001</v>
      </c>
      <c r="BD22" s="50">
        <v>44.3</v>
      </c>
      <c r="BE22" s="50">
        <f t="shared" si="8"/>
        <v>5.9805000000000001</v>
      </c>
      <c r="BF22" s="50">
        <v>72.513754762763227</v>
      </c>
      <c r="BG22" s="50">
        <f>6.43681969225972/1000</f>
        <v>6.4368196922597199E-3</v>
      </c>
      <c r="BH22" s="50">
        <f>1.22219082236233/1000</f>
        <v>1.2221908223623299E-3</v>
      </c>
      <c r="BI22" s="76">
        <f t="shared" si="9"/>
        <v>2.6814501534094263E-2</v>
      </c>
      <c r="BJ22" s="76">
        <f t="shared" si="10"/>
        <v>1.9444201883290497</v>
      </c>
      <c r="BK22" s="76">
        <f t="shared" si="10"/>
        <v>1.7260011151278641E-4</v>
      </c>
      <c r="BL22" s="76">
        <f t="shared" si="10"/>
        <v>3.2772437681190624E-5</v>
      </c>
      <c r="BN22" s="76">
        <f t="shared" si="11"/>
        <v>1.9579376874369234</v>
      </c>
      <c r="BO22" s="76">
        <f t="shared" si="12"/>
        <v>1.9582980961550898</v>
      </c>
      <c r="BP22" s="50">
        <v>2.34</v>
      </c>
      <c r="BQ22" s="50">
        <f t="shared" si="13"/>
        <v>1888.5156836653296</v>
      </c>
      <c r="BR22" s="50">
        <f t="shared" si="14"/>
        <v>1.8885156836653296</v>
      </c>
    </row>
    <row r="23" spans="1:71" ht="13.75" thickBot="1" x14ac:dyDescent="0.75">
      <c r="A23" s="828"/>
      <c r="B23" s="190" t="s">
        <v>15</v>
      </c>
      <c r="C23" s="191">
        <v>42550</v>
      </c>
      <c r="D23" s="192">
        <v>41844</v>
      </c>
      <c r="E23" s="193">
        <v>39087</v>
      </c>
      <c r="F23" s="194">
        <v>123481</v>
      </c>
      <c r="G23" s="195">
        <v>353668</v>
      </c>
      <c r="H23" s="839"/>
      <c r="I23" s="223">
        <v>8.2311644706720255E-2</v>
      </c>
      <c r="J23" s="224">
        <v>8.1184996680681562E-2</v>
      </c>
      <c r="K23" s="225">
        <v>8.8449213399812709E-2</v>
      </c>
      <c r="L23" s="226">
        <v>8.8449213399812709E-2</v>
      </c>
      <c r="M23" s="227">
        <v>7.1314415927035579E-2</v>
      </c>
      <c r="W23" s="175" t="s">
        <v>197</v>
      </c>
      <c r="X23" s="198">
        <v>28939</v>
      </c>
      <c r="Y23" s="198">
        <v>14744</v>
      </c>
      <c r="Z23" s="177">
        <v>0.51</v>
      </c>
      <c r="AA23" s="176">
        <v>36.94</v>
      </c>
      <c r="AB23" s="178">
        <v>13482</v>
      </c>
      <c r="AD23" s="162">
        <f t="shared" si="18"/>
        <v>9.1931128688967245E-2</v>
      </c>
      <c r="AE23" s="162">
        <f>(Y23-Y16-Y9)/Y23</f>
        <v>9.4275637547476948E-3</v>
      </c>
      <c r="AG23" s="50">
        <f>S8</f>
        <v>22995</v>
      </c>
      <c r="AI23" s="162">
        <f t="shared" si="19"/>
        <v>8.9463220675944338E-2</v>
      </c>
      <c r="AN23" s="76">
        <f>AA23*X23*365/1000000</f>
        <v>390.18743089999998</v>
      </c>
      <c r="AO23" s="164">
        <f t="shared" si="20"/>
        <v>9.255720128410895E-2</v>
      </c>
      <c r="AQ23" s="162">
        <f t="shared" si="4"/>
        <v>9.255720128410895E-2</v>
      </c>
      <c r="AU23" s="50" t="str">
        <f>W25</f>
        <v>Vörubifreiðar &gt;12t</v>
      </c>
      <c r="AV23" s="50" t="s">
        <v>158</v>
      </c>
      <c r="AW23" s="189">
        <f>AQ10</f>
        <v>1.2084570413085115E-3</v>
      </c>
      <c r="AX23" s="76">
        <f t="shared" si="5"/>
        <v>1.4235606114998625</v>
      </c>
      <c r="AZ23" s="50">
        <v>40</v>
      </c>
      <c r="BA23" s="50">
        <f t="shared" si="6"/>
        <v>0.4</v>
      </c>
      <c r="BB23" s="50">
        <v>0.75</v>
      </c>
      <c r="BC23" s="50">
        <f t="shared" si="7"/>
        <v>0.30000000000000004</v>
      </c>
      <c r="BD23" s="50">
        <v>44.3</v>
      </c>
      <c r="BE23" s="50">
        <f t="shared" si="8"/>
        <v>13.290000000000001</v>
      </c>
      <c r="BF23" s="50">
        <v>72.512080209241503</v>
      </c>
      <c r="BG23" s="50">
        <f>15.8206501432308/1000</f>
        <v>1.5820650143230801E-2</v>
      </c>
      <c r="BH23" s="50">
        <f>0.84755262174617/1000</f>
        <v>8.4755262174616996E-4</v>
      </c>
      <c r="BI23" s="76">
        <f t="shared" si="9"/>
        <v>18.919120526833172</v>
      </c>
      <c r="BJ23" s="76">
        <f t="shared" si="10"/>
        <v>1371.8647851300343</v>
      </c>
      <c r="BK23" s="76">
        <f t="shared" si="10"/>
        <v>0.29931278687264401</v>
      </c>
      <c r="BL23" s="76">
        <f t="shared" si="10"/>
        <v>1.6034950203649236E-2</v>
      </c>
      <c r="BN23" s="76">
        <f t="shared" si="11"/>
        <v>1384.4948049664354</v>
      </c>
      <c r="BO23" s="76">
        <f t="shared" si="12"/>
        <v>1384.7496567940332</v>
      </c>
      <c r="BP23" s="50">
        <v>2.34</v>
      </c>
      <c r="BQ23" s="50">
        <f t="shared" si="13"/>
        <v>1332452.7323638711</v>
      </c>
      <c r="BR23" s="50">
        <f t="shared" si="14"/>
        <v>1332.4527323638711</v>
      </c>
    </row>
    <row r="24" spans="1:71" ht="13.75" thickBot="1" x14ac:dyDescent="0.75">
      <c r="A24" s="828"/>
      <c r="B24" s="190" t="s">
        <v>16</v>
      </c>
      <c r="C24" s="191">
        <v>38387</v>
      </c>
      <c r="D24" s="192">
        <v>39569</v>
      </c>
      <c r="E24" s="193">
        <v>37569</v>
      </c>
      <c r="F24" s="194">
        <v>115525</v>
      </c>
      <c r="G24" s="195">
        <v>469193</v>
      </c>
      <c r="H24" s="839"/>
      <c r="I24" s="223">
        <v>-5.8474685793451248E-2</v>
      </c>
      <c r="J24" s="224">
        <v>-1.2760188212776139E-3</v>
      </c>
      <c r="K24" s="225">
        <v>-2.8704408751996091E-2</v>
      </c>
      <c r="L24" s="226">
        <v>-2.8704408751996091E-2</v>
      </c>
      <c r="M24" s="227">
        <v>4.4823455965850467E-2</v>
      </c>
      <c r="Q24" s="50" t="s">
        <v>207</v>
      </c>
      <c r="W24" s="157" t="s">
        <v>199</v>
      </c>
      <c r="X24" s="158">
        <v>5887</v>
      </c>
      <c r="Y24" s="158">
        <v>2927</v>
      </c>
      <c r="Z24" s="159">
        <v>0.5</v>
      </c>
      <c r="AA24" s="160">
        <v>39.71</v>
      </c>
      <c r="AB24" s="161">
        <v>14496</v>
      </c>
      <c r="AD24" s="162">
        <f t="shared" si="18"/>
        <v>1.870135645986213E-2</v>
      </c>
      <c r="AE24" s="162">
        <f>(Y24-Y17-Y10)/Y24</f>
        <v>0</v>
      </c>
      <c r="AG24" s="50">
        <f>S16</f>
        <v>3802</v>
      </c>
      <c r="AI24" s="162">
        <f t="shared" si="19"/>
        <v>1.4791874973252461E-2</v>
      </c>
      <c r="AN24" s="76">
        <f t="shared" si="3"/>
        <v>85.327061050000012</v>
      </c>
      <c r="AO24" s="164">
        <f t="shared" si="20"/>
        <v>2.024061601976709E-2</v>
      </c>
      <c r="AQ24" s="162">
        <f t="shared" si="4"/>
        <v>2.024061601976709E-2</v>
      </c>
      <c r="AV24" s="50" t="s">
        <v>25</v>
      </c>
      <c r="AW24" s="189">
        <f>AQ18</f>
        <v>4.0658465421276213E-2</v>
      </c>
      <c r="AX24" s="76">
        <f t="shared" si="5"/>
        <v>47.895612271898401</v>
      </c>
      <c r="AZ24" s="50">
        <v>38</v>
      </c>
      <c r="BA24" s="50">
        <f t="shared" si="6"/>
        <v>0.38</v>
      </c>
      <c r="BB24" s="50">
        <v>0.86499999999999999</v>
      </c>
      <c r="BC24" s="50">
        <f t="shared" si="7"/>
        <v>0.32869999999999999</v>
      </c>
      <c r="BD24" s="50">
        <v>43</v>
      </c>
      <c r="BE24" s="50">
        <f t="shared" si="8"/>
        <v>14.1341</v>
      </c>
      <c r="BF24" s="50">
        <v>73.367479939063315</v>
      </c>
      <c r="BG24" s="50">
        <f>2.07749454663654/1000</f>
        <v>2.0774945466365403E-3</v>
      </c>
      <c r="BH24" s="50">
        <f>2.35970659533889/1000</f>
        <v>2.3597065953388898E-3</v>
      </c>
      <c r="BI24" s="76">
        <f t="shared" si="9"/>
        <v>676.96137341223914</v>
      </c>
      <c r="BJ24" s="76">
        <f t="shared" si="10"/>
        <v>49666.949983343206</v>
      </c>
      <c r="BK24" s="76">
        <f t="shared" si="10"/>
        <v>1.4063835615475095</v>
      </c>
      <c r="BL24" s="76">
        <f t="shared" si="10"/>
        <v>1.5974302176305337</v>
      </c>
      <c r="BN24" s="76">
        <f t="shared" si="11"/>
        <v>50129.64773073863</v>
      </c>
      <c r="BO24" s="76">
        <f t="shared" si="12"/>
        <v>50138.87537991086</v>
      </c>
      <c r="BP24" s="50">
        <v>2.72</v>
      </c>
      <c r="BQ24" s="50">
        <f t="shared" si="13"/>
        <v>49504904.844234191</v>
      </c>
      <c r="BR24" s="50">
        <f t="shared" si="14"/>
        <v>49504.904844234188</v>
      </c>
    </row>
    <row r="25" spans="1:71" ht="13.75" thickBot="1" x14ac:dyDescent="0.75">
      <c r="A25" s="828"/>
      <c r="B25" s="190" t="s">
        <v>17</v>
      </c>
      <c r="C25" s="191">
        <v>42024</v>
      </c>
      <c r="D25" s="192">
        <v>42513</v>
      </c>
      <c r="E25" s="193">
        <v>40787</v>
      </c>
      <c r="F25" s="194">
        <v>125324</v>
      </c>
      <c r="G25" s="195">
        <v>594517</v>
      </c>
      <c r="H25" s="839"/>
      <c r="I25" s="223">
        <v>4.4619553058738722E-2</v>
      </c>
      <c r="J25" s="224">
        <v>3.0547273737935216E-2</v>
      </c>
      <c r="K25" s="225">
        <v>3.769085549630713E-2</v>
      </c>
      <c r="L25" s="226">
        <v>3.769085549630713E-2</v>
      </c>
      <c r="M25" s="227">
        <v>4.3311761643636926E-2</v>
      </c>
      <c r="W25" s="228" t="s">
        <v>201</v>
      </c>
      <c r="X25" s="229">
        <v>6961</v>
      </c>
      <c r="Y25" s="229">
        <v>3398</v>
      </c>
      <c r="Z25" s="230">
        <v>0.49</v>
      </c>
      <c r="AA25" s="231">
        <v>67.81</v>
      </c>
      <c r="AB25" s="232">
        <v>24751</v>
      </c>
      <c r="AD25" s="162">
        <f t="shared" si="18"/>
        <v>2.2113154801613775E-2</v>
      </c>
      <c r="AE25" s="162">
        <f>(Y25-Y18-Y11)/Y25</f>
        <v>2.0600353148911123E-3</v>
      </c>
      <c r="AG25" s="50">
        <f>S15</f>
        <v>4152</v>
      </c>
      <c r="AI25" s="162">
        <f t="shared" si="19"/>
        <v>1.6153567829811737E-2</v>
      </c>
      <c r="AN25" s="76">
        <f t="shared" si="3"/>
        <v>172.28927465000001</v>
      </c>
      <c r="AO25" s="164">
        <f t="shared" si="20"/>
        <v>4.0869110099448824E-2</v>
      </c>
      <c r="AQ25" s="162">
        <f>AN25/$AO$26</f>
        <v>4.0869110099448824E-2</v>
      </c>
      <c r="AV25" s="50" t="s">
        <v>42</v>
      </c>
      <c r="AW25" s="189">
        <f>AQ32</f>
        <v>0</v>
      </c>
      <c r="AX25" s="76">
        <f t="shared" si="5"/>
        <v>0</v>
      </c>
      <c r="AZ25" s="50">
        <v>18</v>
      </c>
      <c r="BA25" s="50">
        <f t="shared" si="6"/>
        <v>0.18</v>
      </c>
      <c r="BB25" s="50">
        <v>0.75</v>
      </c>
      <c r="BC25" s="50">
        <f t="shared" si="7"/>
        <v>0.13500000000000001</v>
      </c>
      <c r="BD25" s="50">
        <v>44.3</v>
      </c>
      <c r="BE25" s="50">
        <f t="shared" si="8"/>
        <v>5.9805000000000001</v>
      </c>
      <c r="BF25" s="50">
        <v>72.512080209241503</v>
      </c>
      <c r="BG25" s="50">
        <f>15.8206501432308/1000</f>
        <v>1.5820650143230801E-2</v>
      </c>
      <c r="BH25" s="50">
        <f>0.84755262174617/1000</f>
        <v>8.4755262174616996E-4</v>
      </c>
      <c r="BI25" s="76">
        <f t="shared" si="9"/>
        <v>0</v>
      </c>
      <c r="BJ25" s="76">
        <f t="shared" si="10"/>
        <v>0</v>
      </c>
      <c r="BK25" s="76">
        <f t="shared" si="10"/>
        <v>0</v>
      </c>
      <c r="BL25" s="76">
        <f t="shared" si="10"/>
        <v>0</v>
      </c>
      <c r="BN25" s="76">
        <f t="shared" si="11"/>
        <v>0</v>
      </c>
      <c r="BO25" s="76">
        <f>BN25*$BO$27/$BN$27</f>
        <v>0</v>
      </c>
      <c r="BP25" s="50">
        <v>2.34</v>
      </c>
      <c r="BQ25" s="50">
        <f t="shared" si="13"/>
        <v>0</v>
      </c>
      <c r="BR25" s="50">
        <f t="shared" si="14"/>
        <v>0</v>
      </c>
    </row>
    <row r="26" spans="1:71" x14ac:dyDescent="0.6">
      <c r="A26" s="828"/>
      <c r="B26" s="190" t="s">
        <v>18</v>
      </c>
      <c r="C26" s="191">
        <v>39411</v>
      </c>
      <c r="D26" s="192">
        <v>41522</v>
      </c>
      <c r="E26" s="193">
        <v>40763</v>
      </c>
      <c r="F26" s="194">
        <v>121696</v>
      </c>
      <c r="G26" s="195">
        <v>716213</v>
      </c>
      <c r="H26" s="839"/>
      <c r="I26" s="223">
        <v>8.6762899262899269E-3</v>
      </c>
      <c r="J26" s="224">
        <v>9.4598945048413857E-3</v>
      </c>
      <c r="K26" s="225">
        <v>7.5673527512378769E-3</v>
      </c>
      <c r="L26" s="226">
        <v>7.5673527512378769E-3</v>
      </c>
      <c r="M26" s="227">
        <v>3.7060434854939039E-2</v>
      </c>
      <c r="X26" s="112">
        <f>SUM(X20:X25)</f>
        <v>314790</v>
      </c>
      <c r="AG26" s="50">
        <f>SUM(AG20:AG25)</f>
        <v>257033</v>
      </c>
      <c r="AO26" s="76">
        <f>SUM(AN20:AN25)</f>
        <v>4215.6355798000004</v>
      </c>
      <c r="AQ26" s="162">
        <f t="shared" si="4"/>
        <v>0</v>
      </c>
    </row>
    <row r="27" spans="1:71" x14ac:dyDescent="0.6">
      <c r="A27" s="828"/>
      <c r="B27" s="190" t="s">
        <v>19</v>
      </c>
      <c r="C27" s="191">
        <v>35789</v>
      </c>
      <c r="D27" s="192">
        <v>39723</v>
      </c>
      <c r="E27" s="193">
        <v>39963</v>
      </c>
      <c r="F27" s="194">
        <v>115475</v>
      </c>
      <c r="G27" s="195">
        <v>831688</v>
      </c>
      <c r="H27" s="839"/>
      <c r="I27" s="223">
        <v>3.4573468620819239E-2</v>
      </c>
      <c r="J27" s="224">
        <v>3.1016315666585661E-2</v>
      </c>
      <c r="K27" s="225">
        <v>2.9310196741624051E-2</v>
      </c>
      <c r="L27" s="226">
        <v>2.9310196741624051E-2</v>
      </c>
      <c r="M27" s="227">
        <v>3.5977389651791203E-2</v>
      </c>
      <c r="W27" s="50" t="str">
        <f t="shared" ref="W27:W32" si="21">W20</f>
        <v>Fólksbifreiðar</v>
      </c>
      <c r="X27" s="112">
        <f t="shared" ref="X27:Y32" si="22">X20-(X6+X13)</f>
        <v>18978</v>
      </c>
      <c r="Y27" s="112">
        <f t="shared" si="22"/>
        <v>2842</v>
      </c>
      <c r="Z27" s="112"/>
      <c r="AA27" s="162">
        <f t="shared" ref="AA27:AA32" si="23">X27/X20</f>
        <v>7.0334476049291203E-2</v>
      </c>
      <c r="AB27" s="112"/>
      <c r="AN27" s="76">
        <f>AA6*X27*365/1000000</f>
        <v>213.69702450000003</v>
      </c>
      <c r="AO27" s="164">
        <f>AN27/$AO$26</f>
        <v>5.0691531669380757E-2</v>
      </c>
      <c r="AQ27" s="162">
        <f t="shared" si="4"/>
        <v>5.0691531669380757E-2</v>
      </c>
      <c r="BI27" s="76">
        <f>SUM(BI8:BI25)</f>
        <v>3844.3655059842672</v>
      </c>
      <c r="BJ27" s="76">
        <f>SUM(BJ8:BJ25)</f>
        <v>280702.78578585153</v>
      </c>
      <c r="BK27" s="76">
        <f>SUM(BK8:BK25)</f>
        <v>13.622246321507179</v>
      </c>
      <c r="BL27" s="76">
        <f>SUM(BL8:BL25)</f>
        <v>7.1007704653415509</v>
      </c>
      <c r="BN27" s="76">
        <f>BJ27+BK27*BM4+BL27*BN4</f>
        <v>282965.91285616922</v>
      </c>
      <c r="BO27" s="50">
        <v>283018</v>
      </c>
      <c r="BQ27" s="76">
        <f>SUM(BQ8:BQ25)</f>
        <v>277278934.63097608</v>
      </c>
      <c r="BR27" s="76">
        <f>SUM(BR8:BR25)</f>
        <v>277278.93463097617</v>
      </c>
    </row>
    <row r="28" spans="1:71" x14ac:dyDescent="0.6">
      <c r="A28" s="828"/>
      <c r="B28" s="190" t="s">
        <v>20</v>
      </c>
      <c r="C28" s="191">
        <v>38871</v>
      </c>
      <c r="D28" s="192">
        <v>40298.173510925189</v>
      </c>
      <c r="E28" s="193">
        <v>40485</v>
      </c>
      <c r="F28" s="194">
        <v>119654.17351092519</v>
      </c>
      <c r="G28" s="195">
        <v>951342.17351092515</v>
      </c>
      <c r="H28" s="839"/>
      <c r="I28" s="223">
        <v>7.9085204584348912E-3</v>
      </c>
      <c r="J28" s="224">
        <v>2.6505455704659498E-2</v>
      </c>
      <c r="K28" s="225">
        <v>9.5811009062556352E-3</v>
      </c>
      <c r="L28" s="226">
        <v>9.5811009062556352E-3</v>
      </c>
      <c r="M28" s="227">
        <v>3.2581784222394994E-2</v>
      </c>
      <c r="W28" s="50" t="str">
        <f t="shared" si="21"/>
        <v>Hópbifreiðar ≤5t</v>
      </c>
      <c r="X28" s="112">
        <f t="shared" si="22"/>
        <v>-12</v>
      </c>
      <c r="Y28" s="112">
        <f t="shared" si="22"/>
        <v>0</v>
      </c>
      <c r="Z28" s="112"/>
      <c r="AA28" s="162">
        <f t="shared" si="23"/>
        <v>-8.658008658008658E-3</v>
      </c>
      <c r="AB28" s="112"/>
      <c r="AN28" s="121">
        <v>0</v>
      </c>
      <c r="AO28" s="164">
        <f>AN28/$AO$26</f>
        <v>0</v>
      </c>
      <c r="AQ28" s="233">
        <f>AN28/$AO$26</f>
        <v>0</v>
      </c>
      <c r="BO28" s="76">
        <f>SUM(BO8:BO25)</f>
        <v>283018.00000000006</v>
      </c>
    </row>
    <row r="29" spans="1:71" x14ac:dyDescent="0.6">
      <c r="A29" s="828"/>
      <c r="B29" s="190" t="s">
        <v>211</v>
      </c>
      <c r="C29" s="191">
        <v>42702.306473651028</v>
      </c>
      <c r="D29" s="192">
        <v>41641</v>
      </c>
      <c r="E29" s="193">
        <v>41129</v>
      </c>
      <c r="F29" s="194">
        <v>125472.30647365103</v>
      </c>
      <c r="G29" s="195">
        <v>1076814.4799845761</v>
      </c>
      <c r="H29" s="839"/>
      <c r="I29" s="223">
        <v>3.5107055646750082E-2</v>
      </c>
      <c r="J29" s="224">
        <v>5.5835087539148738E-2</v>
      </c>
      <c r="K29" s="225">
        <v>3.3612647239118054E-2</v>
      </c>
      <c r="L29" s="226">
        <v>3.3612647239118054E-2</v>
      </c>
      <c r="M29" s="227">
        <v>3.2701796332402111E-2</v>
      </c>
      <c r="W29" s="50" t="str">
        <f t="shared" si="21"/>
        <v>Hópbifreiðar &gt;5t</v>
      </c>
      <c r="X29" s="112">
        <f t="shared" si="22"/>
        <v>21</v>
      </c>
      <c r="Y29" s="112">
        <f t="shared" si="22"/>
        <v>1</v>
      </c>
      <c r="Z29" s="112"/>
      <c r="AA29" s="162">
        <f t="shared" si="23"/>
        <v>1.171875E-2</v>
      </c>
      <c r="AB29" s="112"/>
      <c r="AN29" s="76">
        <f>AA8*X29*365/1000000</f>
        <v>0.61396649999999997</v>
      </c>
      <c r="AQ29" s="162">
        <f t="shared" si="4"/>
        <v>1.4564031647847702E-4</v>
      </c>
    </row>
    <row r="30" spans="1:71" x14ac:dyDescent="0.6">
      <c r="A30" s="828"/>
      <c r="B30" s="190" t="s">
        <v>213</v>
      </c>
      <c r="C30" s="191">
        <v>43343.136815972022</v>
      </c>
      <c r="D30" s="192">
        <v>42356</v>
      </c>
      <c r="E30" s="193">
        <v>40267</v>
      </c>
      <c r="F30" s="194">
        <v>125966.13681597202</v>
      </c>
      <c r="G30" s="195">
        <v>1202780.616800548</v>
      </c>
      <c r="H30" s="839"/>
      <c r="I30" s="223">
        <v>9.8573954883459783E-2</v>
      </c>
      <c r="J30" s="224">
        <v>8.2009942227596402E-2</v>
      </c>
      <c r="K30" s="225">
        <v>8.522267532756711E-2</v>
      </c>
      <c r="L30" s="226">
        <v>8.522267532756711E-2</v>
      </c>
      <c r="M30" s="227">
        <v>3.7962723298757828E-2</v>
      </c>
      <c r="W30" s="50" t="str">
        <f t="shared" si="21"/>
        <v>Sendibifreiðar</v>
      </c>
      <c r="X30" s="112">
        <f t="shared" si="22"/>
        <v>448</v>
      </c>
      <c r="Y30" s="112">
        <f t="shared" si="22"/>
        <v>139</v>
      </c>
      <c r="Z30" s="112"/>
      <c r="AA30" s="162">
        <f t="shared" si="23"/>
        <v>1.5480839006185425E-2</v>
      </c>
      <c r="AB30" s="112"/>
      <c r="AN30" s="76">
        <f>AA9*X30*365/1000000</f>
        <v>4.7698784000000005</v>
      </c>
      <c r="AQ30" s="162">
        <f t="shared" si="4"/>
        <v>1.1314731336967924E-3</v>
      </c>
    </row>
    <row r="31" spans="1:71" x14ac:dyDescent="0.6">
      <c r="A31" s="828"/>
      <c r="B31" s="234" t="s">
        <v>216</v>
      </c>
      <c r="C31" s="191">
        <v>43214</v>
      </c>
      <c r="D31" s="192">
        <v>41768</v>
      </c>
      <c r="E31" s="193">
        <v>38748.857885665217</v>
      </c>
      <c r="F31" s="194">
        <v>123730.85788566522</v>
      </c>
      <c r="G31" s="195">
        <v>1326511.4746862133</v>
      </c>
      <c r="H31" s="839"/>
      <c r="I31" s="223">
        <v>8.9996468748423541E-2</v>
      </c>
      <c r="J31" s="224">
        <v>4.4415457417999959E-2</v>
      </c>
      <c r="K31" s="225">
        <v>5.0364674151218258E-2</v>
      </c>
      <c r="L31" s="226">
        <v>5.0364674151218258E-2</v>
      </c>
      <c r="M31" s="227">
        <v>3.9107121675610257E-2</v>
      </c>
      <c r="W31" s="50" t="str">
        <f t="shared" si="21"/>
        <v>Vörubifreiðar ≤12t</v>
      </c>
      <c r="X31" s="112">
        <f t="shared" si="22"/>
        <v>2</v>
      </c>
      <c r="Y31" s="112">
        <f t="shared" si="22"/>
        <v>0</v>
      </c>
      <c r="Z31" s="112"/>
      <c r="AA31" s="162">
        <f t="shared" si="23"/>
        <v>3.3973161202649905E-4</v>
      </c>
      <c r="AB31" s="112"/>
      <c r="AN31" s="76">
        <f>AA10*X31*365/1000000</f>
        <v>1.6045400000000001E-2</v>
      </c>
      <c r="AQ31" s="162">
        <f>AN31/$AO$26</f>
        <v>3.8061639096331075E-6</v>
      </c>
    </row>
    <row r="32" spans="1:71" ht="16.75" thickBot="1" x14ac:dyDescent="0.75">
      <c r="A32" s="838"/>
      <c r="B32" s="235" t="s">
        <v>217</v>
      </c>
      <c r="C32" s="206">
        <v>42532</v>
      </c>
      <c r="D32" s="207">
        <v>42771</v>
      </c>
      <c r="E32" s="208">
        <v>38934</v>
      </c>
      <c r="F32" s="209">
        <v>124237</v>
      </c>
      <c r="G32" s="195">
        <v>1450748.4746862133</v>
      </c>
      <c r="H32" s="839"/>
      <c r="I32" s="236">
        <v>5.8536585365853662E-2</v>
      </c>
      <c r="J32" s="237">
        <v>5.7989130434782606E-2</v>
      </c>
      <c r="K32" s="238">
        <v>3.7686364585508558E-2</v>
      </c>
      <c r="L32" s="239">
        <v>3.7686364585508558E-2</v>
      </c>
      <c r="M32" s="240">
        <v>3.8985300732207406E-2</v>
      </c>
      <c r="W32" s="50" t="str">
        <f t="shared" si="21"/>
        <v>Vörubifreiðar &gt;12t</v>
      </c>
      <c r="X32" s="112">
        <f t="shared" si="22"/>
        <v>29</v>
      </c>
      <c r="Y32" s="112">
        <f t="shared" si="22"/>
        <v>7</v>
      </c>
      <c r="Z32" s="112"/>
      <c r="AA32" s="162">
        <f t="shared" si="23"/>
        <v>4.1660680936647029E-3</v>
      </c>
      <c r="AB32" s="112"/>
      <c r="AN32" s="76">
        <f>AA11*X32*365/1000000</f>
        <v>0</v>
      </c>
      <c r="AQ32" s="162">
        <f t="shared" si="4"/>
        <v>0</v>
      </c>
      <c r="BM32" s="241">
        <v>97745.141340000002</v>
      </c>
      <c r="BO32" s="76">
        <f>BN8+BN10+BN11+BN13</f>
        <v>97739.668974934233</v>
      </c>
      <c r="BS32" s="50">
        <v>96894</v>
      </c>
    </row>
    <row r="33" spans="1:71" ht="16.75" thickBot="1" x14ac:dyDescent="0.75">
      <c r="A33" s="242" t="s">
        <v>220</v>
      </c>
      <c r="B33" s="243"/>
      <c r="C33" s="212">
        <v>40643.286940801925</v>
      </c>
      <c r="D33" s="212">
        <v>41092.764459243765</v>
      </c>
      <c r="E33" s="212">
        <v>39159.654823805431</v>
      </c>
      <c r="F33" s="213">
        <v>120895.70622385111</v>
      </c>
      <c r="G33" s="213"/>
      <c r="H33" s="840"/>
      <c r="I33" s="244">
        <v>3.8034271765940542E-2</v>
      </c>
      <c r="J33" s="244">
        <v>3.4128618819366574E-2</v>
      </c>
      <c r="K33" s="245">
        <v>4.5129755541558403E-2</v>
      </c>
      <c r="L33" s="246"/>
      <c r="M33" s="245">
        <v>3.8985300732207406E-2</v>
      </c>
      <c r="X33" s="112"/>
      <c r="Y33" s="112"/>
      <c r="Z33" s="112"/>
      <c r="AA33" s="112"/>
      <c r="AB33" s="112"/>
      <c r="BM33" s="241">
        <v>72042.283264651443</v>
      </c>
      <c r="BO33" s="76">
        <f>BN9+BN12</f>
        <v>72063.196035628571</v>
      </c>
      <c r="BS33" s="50">
        <v>98163</v>
      </c>
    </row>
    <row r="34" spans="1:71" ht="16" x14ac:dyDescent="0.65">
      <c r="A34" s="828">
        <v>2007</v>
      </c>
      <c r="B34" s="217" t="s">
        <v>191</v>
      </c>
      <c r="C34" s="180">
        <v>40666</v>
      </c>
      <c r="D34" s="181">
        <v>39409</v>
      </c>
      <c r="E34" s="182">
        <v>37899</v>
      </c>
      <c r="F34" s="183">
        <v>117974</v>
      </c>
      <c r="G34" s="184">
        <v>117974</v>
      </c>
      <c r="H34" s="830" t="s">
        <v>224</v>
      </c>
      <c r="I34" s="218">
        <v>7.0467766985179925E-2</v>
      </c>
      <c r="J34" s="219">
        <v>9.2757049766449454E-2</v>
      </c>
      <c r="K34" s="220">
        <v>6.1795730280447936E-2</v>
      </c>
      <c r="L34" s="221">
        <v>6.1795730280447936E-2</v>
      </c>
      <c r="M34" s="222">
        <v>6.1795730280447936E-2</v>
      </c>
      <c r="W34" s="247" t="s">
        <v>225</v>
      </c>
      <c r="X34" s="112"/>
      <c r="Y34" s="112"/>
      <c r="Z34" s="112"/>
      <c r="AA34" s="112"/>
      <c r="AB34" s="112"/>
      <c r="AQ34" s="189">
        <f>SUM(AQ6:AQ18)+SUM(AQ27:AQ32)</f>
        <v>1.0002539852484238</v>
      </c>
      <c r="AS34" s="189">
        <f>SUM(AQ20:AQ25)</f>
        <v>0.99999999999999989</v>
      </c>
      <c r="BM34" s="241">
        <v>4818.8989200000015</v>
      </c>
      <c r="BO34" s="76">
        <f>BN14+BN16+BN20+BN22</f>
        <v>4787.2495942268943</v>
      </c>
      <c r="BS34" s="50">
        <v>9004</v>
      </c>
    </row>
    <row r="35" spans="1:71" ht="16" x14ac:dyDescent="0.6">
      <c r="A35" s="828"/>
      <c r="B35" s="190" t="s">
        <v>195</v>
      </c>
      <c r="C35" s="191">
        <v>42636</v>
      </c>
      <c r="D35" s="192">
        <v>41580</v>
      </c>
      <c r="E35" s="193">
        <v>40896</v>
      </c>
      <c r="F35" s="194">
        <v>125112</v>
      </c>
      <c r="G35" s="195">
        <v>243086</v>
      </c>
      <c r="H35" s="831"/>
      <c r="I35" s="223">
        <v>4.2266604737575479E-2</v>
      </c>
      <c r="J35" s="224">
        <v>9.0530919175488653E-2</v>
      </c>
      <c r="K35" s="225">
        <v>5.0663845010455288E-2</v>
      </c>
      <c r="L35" s="226">
        <v>5.0663845010455288E-2</v>
      </c>
      <c r="M35" s="227">
        <v>5.6037048139121692E-2</v>
      </c>
      <c r="X35" s="112"/>
      <c r="Y35" s="112"/>
      <c r="Z35" s="112"/>
      <c r="AA35" s="112"/>
      <c r="AB35" s="112"/>
      <c r="BM35" s="241">
        <v>32678.350765468364</v>
      </c>
      <c r="BO35" s="76">
        <f>BN15+BN21</f>
        <v>32674.383548207588</v>
      </c>
      <c r="BS35" s="50">
        <v>9</v>
      </c>
    </row>
    <row r="36" spans="1:71" ht="16" x14ac:dyDescent="0.6">
      <c r="A36" s="828"/>
      <c r="B36" s="190" t="s">
        <v>15</v>
      </c>
      <c r="C36" s="191">
        <v>44711</v>
      </c>
      <c r="D36" s="192">
        <v>43720</v>
      </c>
      <c r="E36" s="193">
        <v>42527</v>
      </c>
      <c r="F36" s="194">
        <v>130958</v>
      </c>
      <c r="G36" s="195">
        <v>374044</v>
      </c>
      <c r="H36" s="831"/>
      <c r="I36" s="223">
        <v>5.0787309048178617E-2</v>
      </c>
      <c r="J36" s="224">
        <v>8.8008800880088014E-2</v>
      </c>
      <c r="K36" s="225">
        <v>6.0551825786963276E-2</v>
      </c>
      <c r="L36" s="226">
        <v>6.0551825786963276E-2</v>
      </c>
      <c r="M36" s="227">
        <v>5.7613354897813718E-2</v>
      </c>
      <c r="X36" s="112"/>
      <c r="Y36" s="112"/>
      <c r="Z36" s="112"/>
      <c r="AA36" s="112"/>
      <c r="AB36" s="112"/>
      <c r="BM36" s="241">
        <v>1536.7751583397605</v>
      </c>
      <c r="BO36" s="76">
        <f>BN17+BN19+BN23+BN25</f>
        <v>1507.2531194980559</v>
      </c>
      <c r="BS36" s="50">
        <v>2482</v>
      </c>
    </row>
    <row r="37" spans="1:71" ht="16" x14ac:dyDescent="0.6">
      <c r="A37" s="828"/>
      <c r="B37" s="190" t="s">
        <v>16</v>
      </c>
      <c r="C37" s="191">
        <v>41126</v>
      </c>
      <c r="D37" s="192">
        <v>42156</v>
      </c>
      <c r="E37" s="193">
        <v>42383</v>
      </c>
      <c r="F37" s="194">
        <v>125665</v>
      </c>
      <c r="G37" s="195">
        <v>499709</v>
      </c>
      <c r="H37" s="831"/>
      <c r="I37" s="223">
        <v>7.1352280720035424E-2</v>
      </c>
      <c r="J37" s="224">
        <v>0.1281375602225239</v>
      </c>
      <c r="K37" s="225">
        <v>8.7773209262064444E-2</v>
      </c>
      <c r="L37" s="226">
        <v>8.7773209262064444E-2</v>
      </c>
      <c r="M37" s="227">
        <v>6.5039333493892793E-2</v>
      </c>
      <c r="X37" s="112"/>
      <c r="Y37" s="112"/>
      <c r="Z37" s="112"/>
      <c r="AA37" s="112"/>
      <c r="AB37" s="112"/>
      <c r="BM37" s="241">
        <v>74199.074003842441</v>
      </c>
      <c r="BO37" s="76">
        <f>BN24+BN18</f>
        <v>74194.161583673937</v>
      </c>
      <c r="BS37" s="50">
        <v>0</v>
      </c>
    </row>
    <row r="38" spans="1:71" x14ac:dyDescent="0.6">
      <c r="A38" s="828"/>
      <c r="B38" s="190" t="s">
        <v>17</v>
      </c>
      <c r="C38" s="191">
        <v>43780</v>
      </c>
      <c r="D38" s="192">
        <v>44517</v>
      </c>
      <c r="E38" s="193">
        <v>45850</v>
      </c>
      <c r="F38" s="194">
        <v>134147</v>
      </c>
      <c r="G38" s="195">
        <v>633856</v>
      </c>
      <c r="H38" s="831"/>
      <c r="I38" s="223">
        <v>4.1785646297353894E-2</v>
      </c>
      <c r="J38" s="224">
        <v>0.12413268933728884</v>
      </c>
      <c r="K38" s="225">
        <v>7.0401519262072609E-2</v>
      </c>
      <c r="L38" s="226">
        <v>7.0401519262072609E-2</v>
      </c>
      <c r="M38" s="227">
        <v>6.6169680597863545E-2</v>
      </c>
      <c r="X38" s="112"/>
      <c r="Y38" s="112"/>
      <c r="Z38" s="112"/>
      <c r="AA38" s="112"/>
      <c r="AB38" s="112"/>
      <c r="BS38" s="50">
        <v>3521</v>
      </c>
    </row>
    <row r="39" spans="1:71" x14ac:dyDescent="0.6">
      <c r="A39" s="828"/>
      <c r="B39" s="190" t="s">
        <v>18</v>
      </c>
      <c r="C39" s="191">
        <v>42691</v>
      </c>
      <c r="D39" s="192">
        <v>44919</v>
      </c>
      <c r="E39" s="193">
        <v>47313</v>
      </c>
      <c r="F39" s="194">
        <v>134923</v>
      </c>
      <c r="G39" s="195">
        <v>768779</v>
      </c>
      <c r="H39" s="831"/>
      <c r="I39" s="223">
        <v>8.3225495420060386E-2</v>
      </c>
      <c r="J39" s="224">
        <v>0.16068493486740426</v>
      </c>
      <c r="K39" s="225">
        <v>0.10868886405469369</v>
      </c>
      <c r="L39" s="226">
        <v>0.10868886405469369</v>
      </c>
      <c r="M39" s="227">
        <v>7.3394367318102338E-2</v>
      </c>
      <c r="BS39" s="50">
        <v>22235</v>
      </c>
    </row>
    <row r="40" spans="1:71" x14ac:dyDescent="0.6">
      <c r="A40" s="828"/>
      <c r="B40" s="190" t="s">
        <v>19</v>
      </c>
      <c r="C40" s="191">
        <v>39540</v>
      </c>
      <c r="D40" s="192">
        <v>44232.379760577489</v>
      </c>
      <c r="E40" s="193">
        <v>46367</v>
      </c>
      <c r="F40" s="194">
        <v>130139.37976057749</v>
      </c>
      <c r="G40" s="195">
        <v>898918.37976057746</v>
      </c>
      <c r="H40" s="831"/>
      <c r="I40" s="223">
        <v>0.10480874011567801</v>
      </c>
      <c r="J40" s="224">
        <v>0.16024822961239146</v>
      </c>
      <c r="K40" s="225">
        <v>0.1269918143371076</v>
      </c>
      <c r="L40" s="226">
        <v>0.1269918143371076</v>
      </c>
      <c r="M40" s="227">
        <v>8.083605842645003E-2</v>
      </c>
      <c r="BM40" s="76">
        <f>SUM(BM32:BM37)</f>
        <v>283020.52345230203</v>
      </c>
      <c r="BS40" s="50">
        <v>201</v>
      </c>
    </row>
    <row r="41" spans="1:71" x14ac:dyDescent="0.6">
      <c r="A41" s="828"/>
      <c r="B41" s="190" t="s">
        <v>20</v>
      </c>
      <c r="C41" s="191">
        <v>43072</v>
      </c>
      <c r="D41" s="192">
        <v>45828</v>
      </c>
      <c r="E41" s="193">
        <v>46593</v>
      </c>
      <c r="F41" s="194">
        <v>135493</v>
      </c>
      <c r="G41" s="195">
        <v>1034411.3797605775</v>
      </c>
      <c r="H41" s="831"/>
      <c r="I41" s="223">
        <v>0.10807542898304649</v>
      </c>
      <c r="J41" s="224">
        <v>0.1508706928492034</v>
      </c>
      <c r="K41" s="225">
        <v>0.13237170108093732</v>
      </c>
      <c r="L41" s="226">
        <v>0.13237170108093732</v>
      </c>
      <c r="M41" s="227">
        <v>8.7317905757384517E-2</v>
      </c>
      <c r="BS41" s="50">
        <v>20</v>
      </c>
    </row>
    <row r="42" spans="1:71" x14ac:dyDescent="0.6">
      <c r="A42" s="828"/>
      <c r="B42" s="190" t="s">
        <v>211</v>
      </c>
      <c r="C42" s="191">
        <v>44536</v>
      </c>
      <c r="D42" s="192">
        <v>46730</v>
      </c>
      <c r="E42" s="193">
        <v>46157</v>
      </c>
      <c r="F42" s="194">
        <v>137423</v>
      </c>
      <c r="G42" s="195">
        <v>1171834.3797605773</v>
      </c>
      <c r="H42" s="831"/>
      <c r="I42" s="223">
        <v>4.2941322794365501E-2</v>
      </c>
      <c r="J42" s="224">
        <v>0.12224950764667267</v>
      </c>
      <c r="K42" s="225">
        <v>9.5245667049713489E-2</v>
      </c>
      <c r="L42" s="226">
        <v>9.5245667049713489E-2</v>
      </c>
      <c r="M42" s="227">
        <v>8.8241662368212515E-2</v>
      </c>
      <c r="BS42" s="50">
        <v>11541</v>
      </c>
    </row>
    <row r="43" spans="1:71" ht="14.25" x14ac:dyDescent="0.65">
      <c r="A43" s="828"/>
      <c r="B43" s="190" t="s">
        <v>213</v>
      </c>
      <c r="C43" s="191">
        <v>45561</v>
      </c>
      <c r="D43" s="192">
        <v>47695</v>
      </c>
      <c r="E43" s="193">
        <v>46533</v>
      </c>
      <c r="F43" s="194">
        <v>139789</v>
      </c>
      <c r="G43" s="195">
        <v>1311623.3797605773</v>
      </c>
      <c r="H43" s="831"/>
      <c r="I43" s="223">
        <v>5.1169881714945263E-2</v>
      </c>
      <c r="J43" s="224">
        <v>0.15561129460848835</v>
      </c>
      <c r="K43" s="225">
        <v>0.10973475517648246</v>
      </c>
      <c r="L43" s="226">
        <v>0.10973475517648246</v>
      </c>
      <c r="M43" s="227">
        <v>9.0492614729322796E-2</v>
      </c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BS43" s="50">
        <v>26</v>
      </c>
    </row>
    <row r="44" spans="1:71" ht="14.25" x14ac:dyDescent="0.65">
      <c r="A44" s="828"/>
      <c r="B44" s="234" t="s">
        <v>216</v>
      </c>
      <c r="C44" s="191">
        <v>45586</v>
      </c>
      <c r="D44" s="192">
        <v>48466</v>
      </c>
      <c r="E44" s="193">
        <v>45560</v>
      </c>
      <c r="F44" s="194">
        <v>139612</v>
      </c>
      <c r="G44" s="195">
        <v>1451235.3797605773</v>
      </c>
      <c r="H44" s="831"/>
      <c r="I44" s="223">
        <v>5.4889619104919699E-2</v>
      </c>
      <c r="J44" s="224">
        <v>0.17577659022705036</v>
      </c>
      <c r="K44" s="225">
        <v>0.12835231554775062</v>
      </c>
      <c r="L44" s="226">
        <v>0.12835231554775062</v>
      </c>
      <c r="M44" s="227">
        <v>9.4023992595968719E-2</v>
      </c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BS44" s="50">
        <v>593</v>
      </c>
    </row>
    <row r="45" spans="1:71" ht="15" thickBot="1" x14ac:dyDescent="0.8">
      <c r="A45" s="841"/>
      <c r="B45" s="249" t="s">
        <v>217</v>
      </c>
      <c r="C45" s="206">
        <v>41950</v>
      </c>
      <c r="D45" s="207">
        <v>46794</v>
      </c>
      <c r="E45" s="208">
        <v>42143</v>
      </c>
      <c r="F45" s="209">
        <v>130887</v>
      </c>
      <c r="G45" s="195">
        <v>1582122.3797605773</v>
      </c>
      <c r="H45" s="831"/>
      <c r="I45" s="250">
        <v>-1.3683814539640741E-2</v>
      </c>
      <c r="J45" s="251">
        <v>8.2421533877844552E-2</v>
      </c>
      <c r="K45" s="252">
        <v>5.3526727142477748E-2</v>
      </c>
      <c r="L45" s="239">
        <v>5.3526727142477748E-2</v>
      </c>
      <c r="M45" s="253">
        <v>9.0555949130175284E-2</v>
      </c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BS45" s="50">
        <v>10930</v>
      </c>
    </row>
    <row r="46" spans="1:71" ht="15" thickBot="1" x14ac:dyDescent="0.8">
      <c r="A46" s="242" t="s">
        <v>220</v>
      </c>
      <c r="B46" s="243"/>
      <c r="C46" s="212">
        <v>42987.916666666664</v>
      </c>
      <c r="D46" s="212">
        <v>44670.531646714786</v>
      </c>
      <c r="E46" s="212">
        <v>44185.083333333336</v>
      </c>
      <c r="F46" s="213">
        <v>131843.53164671478</v>
      </c>
      <c r="G46" s="213"/>
      <c r="H46" s="832"/>
      <c r="I46" s="244">
        <v>5.768799480415443E-2</v>
      </c>
      <c r="J46" s="244">
        <v>8.7065624193268576E-2</v>
      </c>
      <c r="K46" s="245">
        <v>0.1283317877069976</v>
      </c>
      <c r="L46" s="246"/>
      <c r="M46" s="245">
        <v>9.0555949130175284E-2</v>
      </c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BS46" s="50">
        <v>0</v>
      </c>
    </row>
    <row r="47" spans="1:71" ht="14.25" x14ac:dyDescent="0.65">
      <c r="A47" s="842">
        <v>2008</v>
      </c>
      <c r="B47" s="179" t="s">
        <v>191</v>
      </c>
      <c r="C47" s="180">
        <v>42079</v>
      </c>
      <c r="D47" s="181">
        <v>43928</v>
      </c>
      <c r="E47" s="182">
        <v>41438</v>
      </c>
      <c r="F47" s="183">
        <v>127445</v>
      </c>
      <c r="G47" s="184">
        <v>127445</v>
      </c>
      <c r="H47" s="830" t="s">
        <v>226</v>
      </c>
      <c r="I47" s="218">
        <v>3.4746471253627106E-2</v>
      </c>
      <c r="J47" s="219">
        <v>9.337977255336552E-2</v>
      </c>
      <c r="K47" s="220">
        <v>8.0280400766270521E-2</v>
      </c>
      <c r="L47" s="221">
        <v>8.0280400766270521E-2</v>
      </c>
      <c r="M47" s="222">
        <v>8.0280400766270521E-2</v>
      </c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BS47" s="50">
        <v>595</v>
      </c>
    </row>
    <row r="48" spans="1:71" ht="14.25" x14ac:dyDescent="0.65">
      <c r="A48" s="828"/>
      <c r="B48" s="190" t="s">
        <v>195</v>
      </c>
      <c r="C48" s="191">
        <v>42211</v>
      </c>
      <c r="D48" s="192">
        <v>45714</v>
      </c>
      <c r="E48" s="193">
        <v>43597</v>
      </c>
      <c r="F48" s="194">
        <v>131522</v>
      </c>
      <c r="G48" s="195">
        <v>258967</v>
      </c>
      <c r="H48" s="831"/>
      <c r="I48" s="223">
        <v>-9.9681020733652318E-3</v>
      </c>
      <c r="J48" s="224">
        <v>6.6045579029733958E-2</v>
      </c>
      <c r="K48" s="225">
        <v>5.1234094251550566E-2</v>
      </c>
      <c r="L48" s="226">
        <v>5.1234094251550566E-2</v>
      </c>
      <c r="M48" s="227">
        <v>6.5330788280690832E-2</v>
      </c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BS48" s="50">
        <v>24042</v>
      </c>
    </row>
    <row r="49" spans="1:71" ht="14.25" x14ac:dyDescent="0.65">
      <c r="A49" s="828"/>
      <c r="B49" s="190" t="s">
        <v>15</v>
      </c>
      <c r="C49" s="191">
        <v>42884.551201761278</v>
      </c>
      <c r="D49" s="192">
        <v>44927</v>
      </c>
      <c r="E49" s="193">
        <v>43751</v>
      </c>
      <c r="F49" s="194">
        <v>131562.55120176129</v>
      </c>
      <c r="G49" s="195">
        <v>390529.55120176129</v>
      </c>
      <c r="H49" s="831"/>
      <c r="I49" s="223">
        <v>-4.0850099488687834E-2</v>
      </c>
      <c r="J49" s="224">
        <v>2.8781715145672161E-2</v>
      </c>
      <c r="K49" s="225">
        <v>4.6163747290068891E-3</v>
      </c>
      <c r="L49" s="226">
        <v>4.6163747290068891E-3</v>
      </c>
      <c r="M49" s="227">
        <v>4.4073828752128952E-2</v>
      </c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BS49" s="50">
        <v>0</v>
      </c>
    </row>
    <row r="50" spans="1:71" ht="14.25" x14ac:dyDescent="0.65">
      <c r="A50" s="828"/>
      <c r="B50" s="190" t="s">
        <v>16</v>
      </c>
      <c r="C50" s="191">
        <v>45303</v>
      </c>
      <c r="D50" s="192">
        <v>48229</v>
      </c>
      <c r="E50" s="193">
        <v>47282</v>
      </c>
      <c r="F50" s="194">
        <v>140814</v>
      </c>
      <c r="G50" s="195">
        <v>531343.55120176123</v>
      </c>
      <c r="H50" s="831"/>
      <c r="I50" s="223">
        <v>0.10156591936974177</v>
      </c>
      <c r="J50" s="224">
        <v>0.11558879739518203</v>
      </c>
      <c r="K50" s="225">
        <v>0.12055067043329482</v>
      </c>
      <c r="L50" s="226">
        <v>0.12055067043329482</v>
      </c>
      <c r="M50" s="227">
        <v>6.3305946464364826E-2</v>
      </c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BS50" s="50">
        <f>SUM(BS32:BS49)</f>
        <v>280256</v>
      </c>
    </row>
    <row r="51" spans="1:71" ht="14.25" x14ac:dyDescent="0.65">
      <c r="A51" s="828"/>
      <c r="B51" s="190" t="s">
        <v>17</v>
      </c>
      <c r="C51" s="191">
        <v>43400</v>
      </c>
      <c r="D51" s="192">
        <v>48148.221902515186</v>
      </c>
      <c r="E51" s="193">
        <v>47334</v>
      </c>
      <c r="F51" s="194">
        <v>138882.22190251519</v>
      </c>
      <c r="G51" s="195">
        <v>670225.77310427639</v>
      </c>
      <c r="H51" s="831"/>
      <c r="I51" s="223">
        <v>-8.6797624486066698E-3</v>
      </c>
      <c r="J51" s="224">
        <v>3.236641221374046E-2</v>
      </c>
      <c r="K51" s="225">
        <v>3.5298753624868118E-2</v>
      </c>
      <c r="L51" s="226">
        <v>3.5298753624868118E-2</v>
      </c>
      <c r="M51" s="227">
        <v>5.7378605084240641E-2</v>
      </c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</row>
    <row r="52" spans="1:71" ht="14.25" x14ac:dyDescent="0.65">
      <c r="A52" s="828"/>
      <c r="B52" s="190" t="s">
        <v>18</v>
      </c>
      <c r="C52" s="191">
        <v>40402</v>
      </c>
      <c r="D52" s="192">
        <v>45572.666795350764</v>
      </c>
      <c r="E52" s="193">
        <v>47040</v>
      </c>
      <c r="F52" s="194">
        <v>133014.66679535076</v>
      </c>
      <c r="G52" s="195">
        <v>803240.43989962712</v>
      </c>
      <c r="H52" s="831"/>
      <c r="I52" s="223">
        <v>-5.3617858565037126E-2</v>
      </c>
      <c r="J52" s="224">
        <v>-5.770084332001775E-3</v>
      </c>
      <c r="K52" s="225">
        <v>-1.4143868759583178E-2</v>
      </c>
      <c r="L52" s="226">
        <v>-1.4143868759583178E-2</v>
      </c>
      <c r="M52" s="227">
        <v>4.4826198295774278E-2</v>
      </c>
      <c r="AI52" s="248"/>
      <c r="AJ52" s="248"/>
      <c r="AK52" s="248"/>
      <c r="AL52" s="248"/>
      <c r="AM52" s="248"/>
      <c r="AN52" s="248"/>
      <c r="AO52" s="248"/>
      <c r="AP52" s="248"/>
      <c r="AQ52" s="248"/>
      <c r="AR52" s="248"/>
      <c r="AS52" s="248"/>
    </row>
    <row r="53" spans="1:71" ht="14.25" x14ac:dyDescent="0.65">
      <c r="A53" s="828"/>
      <c r="B53" s="190" t="s">
        <v>19</v>
      </c>
      <c r="C53" s="191">
        <v>37788</v>
      </c>
      <c r="D53" s="192">
        <v>45431</v>
      </c>
      <c r="E53" s="193">
        <v>46196.383537711605</v>
      </c>
      <c r="F53" s="194">
        <v>129415.3835377116</v>
      </c>
      <c r="G53" s="195">
        <v>932655.82343733869</v>
      </c>
      <c r="H53" s="831"/>
      <c r="I53" s="223">
        <v>-4.4309559939301975E-2</v>
      </c>
      <c r="J53" s="224">
        <v>-3.6796959537687421E-3</v>
      </c>
      <c r="K53" s="225">
        <v>-5.5632370785679841E-3</v>
      </c>
      <c r="L53" s="226">
        <v>-5.5632370785679841E-3</v>
      </c>
      <c r="M53" s="227">
        <v>3.7531153479971158E-2</v>
      </c>
      <c r="AI53" s="248"/>
      <c r="AJ53" s="248"/>
      <c r="AK53" s="248"/>
      <c r="AL53" s="248"/>
      <c r="AM53" s="248"/>
      <c r="AN53" s="248"/>
      <c r="AO53" s="248"/>
      <c r="AP53" s="248"/>
      <c r="AQ53" s="248"/>
      <c r="AR53" s="248"/>
      <c r="AS53" s="248"/>
    </row>
    <row r="54" spans="1:71" ht="14.25" x14ac:dyDescent="0.65">
      <c r="A54" s="828"/>
      <c r="B54" s="190" t="s">
        <v>20</v>
      </c>
      <c r="C54" s="191">
        <v>39855</v>
      </c>
      <c r="D54" s="192">
        <v>45009.046086335104</v>
      </c>
      <c r="E54" s="193">
        <v>46690</v>
      </c>
      <c r="F54" s="194">
        <v>131554.04608633509</v>
      </c>
      <c r="G54" s="195">
        <v>1064209.8695236738</v>
      </c>
      <c r="H54" s="831"/>
      <c r="I54" s="223">
        <v>-7.4688893016344723E-2</v>
      </c>
      <c r="J54" s="224">
        <v>2.0818577897967505E-3</v>
      </c>
      <c r="K54" s="225">
        <v>-2.907127241750429E-2</v>
      </c>
      <c r="L54" s="226">
        <v>-2.907127241750429E-2</v>
      </c>
      <c r="M54" s="227">
        <v>2.8807194454872898E-2</v>
      </c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</row>
    <row r="55" spans="1:71" ht="14.25" x14ac:dyDescent="0.65">
      <c r="A55" s="828"/>
      <c r="B55" s="190" t="s">
        <v>211</v>
      </c>
      <c r="C55" s="191">
        <v>44393</v>
      </c>
      <c r="D55" s="192">
        <v>46983</v>
      </c>
      <c r="E55" s="193">
        <v>47628</v>
      </c>
      <c r="F55" s="194">
        <v>139004</v>
      </c>
      <c r="G55" s="195">
        <v>1203213.8695236738</v>
      </c>
      <c r="H55" s="831"/>
      <c r="I55" s="223">
        <v>-3.2108855757140291E-3</v>
      </c>
      <c r="J55" s="224">
        <v>3.1869488918257249E-2</v>
      </c>
      <c r="K55" s="225">
        <v>1.1504624407850272E-2</v>
      </c>
      <c r="L55" s="226">
        <v>1.1504624407850272E-2</v>
      </c>
      <c r="M55" s="227">
        <v>2.6778092796277075E-2</v>
      </c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</row>
    <row r="56" spans="1:71" ht="14.25" x14ac:dyDescent="0.65">
      <c r="A56" s="828"/>
      <c r="B56" s="190" t="s">
        <v>213</v>
      </c>
      <c r="C56" s="191">
        <v>43645</v>
      </c>
      <c r="D56" s="192">
        <v>44328</v>
      </c>
      <c r="E56" s="193">
        <v>46087</v>
      </c>
      <c r="F56" s="194">
        <v>134060</v>
      </c>
      <c r="G56" s="195">
        <v>1337273.8695236738</v>
      </c>
      <c r="H56" s="831"/>
      <c r="I56" s="223">
        <v>-4.2053510677992144E-2</v>
      </c>
      <c r="J56" s="224">
        <v>-9.5845958781939702E-3</v>
      </c>
      <c r="K56" s="225">
        <v>-4.0983196102697628E-2</v>
      </c>
      <c r="L56" s="226">
        <v>-4.0983196102697628E-2</v>
      </c>
      <c r="M56" s="227">
        <v>1.9556291965288519E-2</v>
      </c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</row>
    <row r="57" spans="1:71" ht="14.25" x14ac:dyDescent="0.65">
      <c r="A57" s="828"/>
      <c r="B57" s="190" t="s">
        <v>216</v>
      </c>
      <c r="C57" s="191">
        <v>42610</v>
      </c>
      <c r="D57" s="192">
        <v>43068</v>
      </c>
      <c r="E57" s="193">
        <v>44500</v>
      </c>
      <c r="F57" s="194">
        <v>130178</v>
      </c>
      <c r="G57" s="195">
        <v>1467451.8695236738</v>
      </c>
      <c r="H57" s="831"/>
      <c r="I57" s="223">
        <v>-6.5283200982757861E-2</v>
      </c>
      <c r="J57" s="224">
        <v>-2.3266022827041263E-2</v>
      </c>
      <c r="K57" s="225">
        <v>-6.7572987995301315E-2</v>
      </c>
      <c r="L57" s="226">
        <v>-6.7572987995301315E-2</v>
      </c>
      <c r="M57" s="227">
        <v>1.1174265725089949E-2</v>
      </c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</row>
    <row r="58" spans="1:71" ht="15" thickBot="1" x14ac:dyDescent="0.8">
      <c r="A58" s="829"/>
      <c r="B58" s="254" t="s">
        <v>217</v>
      </c>
      <c r="C58" s="206">
        <v>41091</v>
      </c>
      <c r="D58" s="207">
        <v>44677</v>
      </c>
      <c r="E58" s="208">
        <v>42705</v>
      </c>
      <c r="F58" s="209">
        <v>128473</v>
      </c>
      <c r="G58" s="195">
        <v>1595924.8695236738</v>
      </c>
      <c r="H58" s="831"/>
      <c r="I58" s="236">
        <v>-2.0476758045292014E-2</v>
      </c>
      <c r="J58" s="237">
        <v>1.3335548015091474E-2</v>
      </c>
      <c r="K58" s="238">
        <v>-1.8443390099857182E-2</v>
      </c>
      <c r="L58" s="239">
        <v>-1.8443390099857182E-2</v>
      </c>
      <c r="M58" s="240">
        <v>8.7240342085199707E-3</v>
      </c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</row>
    <row r="59" spans="1:71" ht="15" thickBot="1" x14ac:dyDescent="0.8">
      <c r="A59" s="242" t="s">
        <v>220</v>
      </c>
      <c r="B59" s="243"/>
      <c r="C59" s="212">
        <v>42138.462600146777</v>
      </c>
      <c r="D59" s="212">
        <v>45501.244565350084</v>
      </c>
      <c r="E59" s="212">
        <v>45354.031961475965</v>
      </c>
      <c r="F59" s="213">
        <v>132993.73912697283</v>
      </c>
      <c r="G59" s="213"/>
      <c r="H59" s="832"/>
      <c r="I59" s="244">
        <v>-1.9760298530088205E-2</v>
      </c>
      <c r="J59" s="244">
        <v>1.8596441278226683E-2</v>
      </c>
      <c r="K59" s="245">
        <v>2.6455729851725174E-2</v>
      </c>
      <c r="L59" s="246"/>
      <c r="M59" s="245">
        <v>8.7240342085199707E-3</v>
      </c>
      <c r="W59" s="255">
        <v>0.65</v>
      </c>
      <c r="AI59" s="248"/>
      <c r="AJ59" s="248"/>
      <c r="AK59" s="248"/>
      <c r="AL59" s="248"/>
      <c r="AM59" s="248"/>
      <c r="AN59" s="248"/>
      <c r="AO59" s="248"/>
      <c r="AP59" s="248"/>
      <c r="AQ59" s="248"/>
      <c r="AR59" s="248"/>
      <c r="AS59" s="248"/>
    </row>
    <row r="60" spans="1:71" x14ac:dyDescent="0.6">
      <c r="A60" s="842">
        <v>2009</v>
      </c>
      <c r="B60" s="256" t="s">
        <v>191</v>
      </c>
      <c r="C60" s="180">
        <v>40051</v>
      </c>
      <c r="D60" s="181">
        <v>41955</v>
      </c>
      <c r="E60" s="182">
        <v>42020</v>
      </c>
      <c r="F60" s="183">
        <v>124026</v>
      </c>
      <c r="G60" s="184">
        <v>124026</v>
      </c>
      <c r="H60" s="830" t="s">
        <v>227</v>
      </c>
      <c r="I60" s="257">
        <v>-4.8195061669716488E-2</v>
      </c>
      <c r="J60" s="258">
        <v>1.4045079395723732E-2</v>
      </c>
      <c r="K60" s="259">
        <v>-2.682725881752912E-2</v>
      </c>
      <c r="L60" s="221">
        <v>-2.682725881752912E-2</v>
      </c>
      <c r="M60" s="260">
        <v>-2.682725881752912E-2</v>
      </c>
      <c r="S60" s="50" t="s">
        <v>228</v>
      </c>
      <c r="Z60" s="50" t="s">
        <v>229</v>
      </c>
    </row>
    <row r="61" spans="1:71" ht="14.25" x14ac:dyDescent="0.65">
      <c r="A61" s="828"/>
      <c r="B61" s="261" t="s">
        <v>195</v>
      </c>
      <c r="C61" s="191">
        <v>41468</v>
      </c>
      <c r="D61" s="192">
        <v>43176</v>
      </c>
      <c r="E61" s="193">
        <v>43833</v>
      </c>
      <c r="F61" s="194">
        <v>128477</v>
      </c>
      <c r="G61" s="195">
        <v>252503</v>
      </c>
      <c r="H61" s="831"/>
      <c r="I61" s="223">
        <v>-1.7602046859823268E-2</v>
      </c>
      <c r="J61" s="224">
        <v>5.4132165057228709E-3</v>
      </c>
      <c r="K61" s="225">
        <v>-2.315202019434015E-2</v>
      </c>
      <c r="L61" s="226">
        <v>-2.315202019434015E-2</v>
      </c>
      <c r="M61" s="227">
        <v>-2.4960709279560733E-2</v>
      </c>
      <c r="P61" s="248">
        <v>2012</v>
      </c>
      <c r="Q61" s="50" t="s">
        <v>230</v>
      </c>
      <c r="S61" s="50">
        <v>4.2350000000000003</v>
      </c>
      <c r="T61" s="121">
        <f>S61*365*0.65</f>
        <v>1004.7537500000001</v>
      </c>
      <c r="U61" s="121">
        <f>S61/0.16</f>
        <v>26.46875</v>
      </c>
      <c r="V61" s="121">
        <f>U61/0.0194</f>
        <v>1364.3685567010309</v>
      </c>
      <c r="W61" s="121">
        <f>V61*$W$59</f>
        <v>886.83956185567013</v>
      </c>
    </row>
    <row r="62" spans="1:71" ht="14.25" x14ac:dyDescent="0.65">
      <c r="A62" s="828"/>
      <c r="B62" s="261" t="s">
        <v>15</v>
      </c>
      <c r="C62" s="191">
        <v>42649</v>
      </c>
      <c r="D62" s="192">
        <v>43974</v>
      </c>
      <c r="E62" s="193">
        <v>45207</v>
      </c>
      <c r="F62" s="194">
        <v>131830</v>
      </c>
      <c r="G62" s="195">
        <v>384333</v>
      </c>
      <c r="H62" s="831"/>
      <c r="I62" s="223">
        <v>-5.4926819836138121E-3</v>
      </c>
      <c r="J62" s="224">
        <v>3.3279239331672421E-2</v>
      </c>
      <c r="K62" s="225">
        <v>2.0328641835818395E-3</v>
      </c>
      <c r="L62" s="226">
        <v>2.0328641835818395E-3</v>
      </c>
      <c r="M62" s="227">
        <v>-1.5867048172648834E-2</v>
      </c>
      <c r="P62" s="248">
        <v>2013</v>
      </c>
      <c r="R62" s="202">
        <f>M124</f>
        <v>2.8204394465260352E-2</v>
      </c>
      <c r="S62" s="124">
        <f>S61*(1+R62)</f>
        <v>4.3544456105603775</v>
      </c>
      <c r="T62" s="121">
        <f t="shared" ref="T62:T67" si="24">S62*365*0.65</f>
        <v>1033.0922211054497</v>
      </c>
      <c r="U62" s="121">
        <f t="shared" ref="U62:U68" si="25">S62/0.16</f>
        <v>27.215285066002359</v>
      </c>
      <c r="V62" s="121">
        <f t="shared" ref="V62:V68" si="26">U62/0.0194</f>
        <v>1402.8497456702246</v>
      </c>
      <c r="W62" s="121">
        <f t="shared" ref="W62:W67" si="27">V62*$W$59</f>
        <v>911.85233468564604</v>
      </c>
      <c r="Z62" s="50">
        <v>5470</v>
      </c>
      <c r="AA62" s="50">
        <v>3406</v>
      </c>
      <c r="AB62" s="50">
        <f>AA62+Z62</f>
        <v>8876</v>
      </c>
    </row>
    <row r="63" spans="1:71" ht="14.25" x14ac:dyDescent="0.65">
      <c r="A63" s="828"/>
      <c r="B63" s="261" t="s">
        <v>16</v>
      </c>
      <c r="C63" s="191">
        <v>40139</v>
      </c>
      <c r="D63" s="192">
        <v>43031</v>
      </c>
      <c r="E63" s="193">
        <v>44800</v>
      </c>
      <c r="F63" s="194">
        <v>127970</v>
      </c>
      <c r="G63" s="195">
        <v>512303</v>
      </c>
      <c r="H63" s="831"/>
      <c r="I63" s="223">
        <v>-0.11398803611239874</v>
      </c>
      <c r="J63" s="224">
        <v>-5.2493549342244407E-2</v>
      </c>
      <c r="K63" s="225">
        <v>-9.1212521482239017E-2</v>
      </c>
      <c r="L63" s="226">
        <v>-9.1212521482239017E-2</v>
      </c>
      <c r="M63" s="227">
        <v>-3.5834727190527604E-2</v>
      </c>
      <c r="P63" s="248">
        <v>2014</v>
      </c>
      <c r="R63" s="202">
        <f>M137</f>
        <v>2.9891451882241293E-2</v>
      </c>
      <c r="S63" s="124">
        <f t="shared" ref="S63:S68" si="28">S62*(1+R63)</f>
        <v>4.4846063120022794</v>
      </c>
      <c r="T63" s="121">
        <f t="shared" si="24"/>
        <v>1063.9728475225409</v>
      </c>
      <c r="U63" s="121">
        <f t="shared" si="25"/>
        <v>28.028789450014244</v>
      </c>
      <c r="V63" s="121">
        <f t="shared" si="26"/>
        <v>1444.7829613409403</v>
      </c>
      <c r="W63" s="121">
        <f t="shared" si="27"/>
        <v>939.10892487161129</v>
      </c>
      <c r="Z63" s="50">
        <v>328</v>
      </c>
      <c r="AA63" s="50">
        <v>950</v>
      </c>
      <c r="AB63" s="50">
        <f>AA63+Z63</f>
        <v>1278</v>
      </c>
    </row>
    <row r="64" spans="1:71" ht="14.25" x14ac:dyDescent="0.65">
      <c r="A64" s="828"/>
      <c r="B64" s="261" t="s">
        <v>17</v>
      </c>
      <c r="C64" s="191">
        <v>41143</v>
      </c>
      <c r="D64" s="192">
        <v>45166</v>
      </c>
      <c r="E64" s="193">
        <v>46849</v>
      </c>
      <c r="F64" s="194">
        <v>133158</v>
      </c>
      <c r="G64" s="195">
        <v>645461</v>
      </c>
      <c r="H64" s="831"/>
      <c r="I64" s="223">
        <v>-5.2004608294930872E-2</v>
      </c>
      <c r="J64" s="224">
        <v>-1.0246334558668187E-2</v>
      </c>
      <c r="K64" s="225">
        <v>-4.1216376179041503E-2</v>
      </c>
      <c r="L64" s="226">
        <v>-4.1216376179041503E-2</v>
      </c>
      <c r="M64" s="227">
        <v>-3.69498967334152E-2</v>
      </c>
      <c r="P64" s="248">
        <v>2015</v>
      </c>
      <c r="R64" s="202">
        <f>M150</f>
        <v>4.227000115618762E-2</v>
      </c>
      <c r="S64" s="124">
        <f t="shared" si="28"/>
        <v>4.6741706259956617</v>
      </c>
      <c r="T64" s="121">
        <f t="shared" si="24"/>
        <v>1108.9469810174708</v>
      </c>
      <c r="U64" s="121">
        <f t="shared" si="25"/>
        <v>29.213566412472886</v>
      </c>
      <c r="V64" s="121">
        <f t="shared" si="26"/>
        <v>1505.8539387872622</v>
      </c>
      <c r="W64" s="121">
        <f t="shared" si="27"/>
        <v>978.8050602117205</v>
      </c>
      <c r="Z64" s="50">
        <v>30</v>
      </c>
      <c r="AA64" s="50">
        <v>2706</v>
      </c>
      <c r="AB64" s="50">
        <f>AA64+Z64</f>
        <v>2736</v>
      </c>
    </row>
    <row r="65" spans="1:33" ht="14.25" x14ac:dyDescent="0.65">
      <c r="A65" s="828"/>
      <c r="B65" s="261" t="s">
        <v>18</v>
      </c>
      <c r="C65" s="191">
        <v>39338</v>
      </c>
      <c r="D65" s="192">
        <v>45356</v>
      </c>
      <c r="E65" s="193">
        <v>47542</v>
      </c>
      <c r="F65" s="194">
        <v>132236</v>
      </c>
      <c r="G65" s="195">
        <v>777697</v>
      </c>
      <c r="H65" s="831"/>
      <c r="I65" s="223">
        <v>-2.6335329934161676E-2</v>
      </c>
      <c r="J65" s="224">
        <v>1.0671768707482994E-2</v>
      </c>
      <c r="K65" s="225">
        <v>-5.8539920003616297E-3</v>
      </c>
      <c r="L65" s="226">
        <v>-5.8539920003616297E-3</v>
      </c>
      <c r="M65" s="227">
        <v>-3.1800490402125403E-2</v>
      </c>
      <c r="P65" s="248">
        <v>2016</v>
      </c>
      <c r="R65" s="202">
        <f>M163</f>
        <v>7.2047840846281241E-2</v>
      </c>
      <c r="S65" s="124">
        <f t="shared" si="28"/>
        <v>5.0109345273457597</v>
      </c>
      <c r="T65" s="121">
        <f t="shared" si="24"/>
        <v>1188.8442166127816</v>
      </c>
      <c r="U65" s="121">
        <f t="shared" si="25"/>
        <v>31.318340795910999</v>
      </c>
      <c r="V65" s="121">
        <f t="shared" si="26"/>
        <v>1614.3474637067525</v>
      </c>
      <c r="W65" s="121">
        <f t="shared" si="27"/>
        <v>1049.3258514093891</v>
      </c>
      <c r="Z65" s="50">
        <f>SUM(Z62:Z64)</f>
        <v>5828</v>
      </c>
      <c r="AA65" s="50">
        <f>SUM(AA62:AA64)</f>
        <v>7062</v>
      </c>
      <c r="AB65" s="50">
        <f>SUM(AB62:AB64)</f>
        <v>12890</v>
      </c>
    </row>
    <row r="66" spans="1:33" ht="14.25" x14ac:dyDescent="0.65">
      <c r="A66" s="828"/>
      <c r="B66" s="261" t="s">
        <v>19</v>
      </c>
      <c r="C66" s="191">
        <v>36278</v>
      </c>
      <c r="D66" s="192">
        <v>43055</v>
      </c>
      <c r="E66" s="193">
        <v>46544</v>
      </c>
      <c r="F66" s="194">
        <v>125877</v>
      </c>
      <c r="G66" s="195">
        <v>903574</v>
      </c>
      <c r="H66" s="831"/>
      <c r="I66" s="223">
        <v>-3.9959775590134437E-2</v>
      </c>
      <c r="J66" s="224">
        <v>7.5247548762042097E-3</v>
      </c>
      <c r="K66" s="225">
        <v>-2.7341290045943545E-2</v>
      </c>
      <c r="L66" s="226">
        <v>-2.7341290045943545E-2</v>
      </c>
      <c r="M66" s="227">
        <v>-3.1181731466766061E-2</v>
      </c>
      <c r="P66" s="248">
        <v>2017</v>
      </c>
      <c r="R66" s="202">
        <f>M176</f>
        <v>8.0027290299421239E-2</v>
      </c>
      <c r="S66" s="124">
        <f>S65*(1+R66)</f>
        <v>5.4119460394370522</v>
      </c>
      <c r="T66" s="121">
        <f>S66*365*0.65</f>
        <v>1283.9841978564407</v>
      </c>
      <c r="U66" s="121">
        <f t="shared" si="25"/>
        <v>33.824662746481579</v>
      </c>
      <c r="V66" s="121">
        <f t="shared" si="26"/>
        <v>1743.5393168289472</v>
      </c>
      <c r="W66" s="121">
        <f t="shared" si="27"/>
        <v>1133.3005559388157</v>
      </c>
    </row>
    <row r="67" spans="1:33" ht="14.25" x14ac:dyDescent="0.65">
      <c r="A67" s="828"/>
      <c r="B67" s="261" t="s">
        <v>20</v>
      </c>
      <c r="C67" s="191">
        <v>38943</v>
      </c>
      <c r="D67" s="192">
        <v>43639.509729323123</v>
      </c>
      <c r="E67" s="193">
        <v>46669</v>
      </c>
      <c r="F67" s="194">
        <v>129251.50972932312</v>
      </c>
      <c r="G67" s="195">
        <v>1032825.5097293231</v>
      </c>
      <c r="H67" s="831"/>
      <c r="I67" s="223">
        <v>-2.2882950696273992E-2</v>
      </c>
      <c r="J67" s="224">
        <v>-4.4977511244377811E-4</v>
      </c>
      <c r="K67" s="225">
        <v>-1.7502588673714237E-2</v>
      </c>
      <c r="L67" s="226">
        <v>-1.7502588673714237E-2</v>
      </c>
      <c r="M67" s="227">
        <v>-2.9490761825388789E-2</v>
      </c>
      <c r="P67" s="248">
        <v>2018</v>
      </c>
      <c r="R67" s="202">
        <f>M189</f>
        <v>2.8042488962377599E-2</v>
      </c>
      <c r="S67" s="124">
        <f t="shared" si="28"/>
        <v>5.5637104765129486</v>
      </c>
      <c r="T67" s="121">
        <f t="shared" si="24"/>
        <v>1319.9903105526971</v>
      </c>
      <c r="U67" s="121">
        <f t="shared" si="25"/>
        <v>34.773190478205926</v>
      </c>
      <c r="V67" s="121">
        <f t="shared" si="26"/>
        <v>1792.4324988765941</v>
      </c>
      <c r="W67" s="121">
        <f t="shared" si="27"/>
        <v>1165.0811242697862</v>
      </c>
      <c r="Z67" s="164">
        <f>Z62/$AB$65</f>
        <v>0.42435996896819239</v>
      </c>
      <c r="AA67" s="164">
        <f>AA62/$AB$65</f>
        <v>0.26423584173778125</v>
      </c>
      <c r="AB67" s="164">
        <f t="shared" ref="Z67:AB69" si="29">AB62/$AB$65</f>
        <v>0.68859581070597364</v>
      </c>
    </row>
    <row r="68" spans="1:33" ht="14.25" x14ac:dyDescent="0.65">
      <c r="A68" s="828"/>
      <c r="B68" s="261" t="s">
        <v>211</v>
      </c>
      <c r="C68" s="191">
        <v>42344</v>
      </c>
      <c r="D68" s="192">
        <v>45323.090825744075</v>
      </c>
      <c r="E68" s="193">
        <v>46364</v>
      </c>
      <c r="F68" s="194">
        <v>134031.09082574409</v>
      </c>
      <c r="G68" s="195">
        <v>1166856.6005550672</v>
      </c>
      <c r="H68" s="831"/>
      <c r="I68" s="223">
        <v>-4.6155925483747438E-2</v>
      </c>
      <c r="J68" s="224">
        <v>-2.6539010665994792E-2</v>
      </c>
      <c r="K68" s="225">
        <v>-3.5775295489740677E-2</v>
      </c>
      <c r="L68" s="226">
        <v>-3.5775295489740677E-2</v>
      </c>
      <c r="M68" s="227">
        <v>-3.0216796771965093E-2</v>
      </c>
      <c r="P68" s="248">
        <v>2019</v>
      </c>
      <c r="R68" s="202">
        <f>M202</f>
        <v>1.1087125087072547E-2</v>
      </c>
      <c r="S68" s="124">
        <f t="shared" si="28"/>
        <v>5.6253960305143034</v>
      </c>
      <c r="T68" s="121">
        <f>S68*365*0.65</f>
        <v>1334.6252082395183</v>
      </c>
      <c r="U68" s="121">
        <f t="shared" si="25"/>
        <v>35.158725190714392</v>
      </c>
      <c r="V68" s="121">
        <f t="shared" si="26"/>
        <v>1812.3054222017727</v>
      </c>
      <c r="W68" s="121">
        <f>V68*$W$59</f>
        <v>1177.9985244311522</v>
      </c>
      <c r="Z68" s="164">
        <f t="shared" si="29"/>
        <v>2.5446082234290148E-2</v>
      </c>
      <c r="AA68" s="164">
        <f t="shared" si="29"/>
        <v>7.3700543056633053E-2</v>
      </c>
      <c r="AB68" s="164">
        <f t="shared" si="29"/>
        <v>9.914662529092319E-2</v>
      </c>
    </row>
    <row r="69" spans="1:33" x14ac:dyDescent="0.6">
      <c r="A69" s="828"/>
      <c r="B69" s="261" t="s">
        <v>213</v>
      </c>
      <c r="C69" s="191">
        <v>41415</v>
      </c>
      <c r="D69" s="192">
        <v>44791.584372036959</v>
      </c>
      <c r="E69" s="193">
        <v>44499</v>
      </c>
      <c r="F69" s="194">
        <v>130705.58437203696</v>
      </c>
      <c r="G69" s="195">
        <v>1297562.184927104</v>
      </c>
      <c r="H69" s="831"/>
      <c r="I69" s="223">
        <v>-5.1094054301752775E-2</v>
      </c>
      <c r="J69" s="224">
        <v>-3.4456571267385598E-2</v>
      </c>
      <c r="K69" s="225">
        <v>-2.5021748679419975E-2</v>
      </c>
      <c r="L69" s="226">
        <v>-2.5021748679419975E-2</v>
      </c>
      <c r="M69" s="227">
        <v>-2.9695999825910535E-2</v>
      </c>
      <c r="Z69" s="164">
        <f t="shared" si="29"/>
        <v>2.3273855702094647E-3</v>
      </c>
      <c r="AA69" s="164">
        <f t="shared" si="29"/>
        <v>0.20993017843289372</v>
      </c>
      <c r="AB69" s="164">
        <f t="shared" si="29"/>
        <v>0.21225756400310319</v>
      </c>
    </row>
    <row r="70" spans="1:33" x14ac:dyDescent="0.6">
      <c r="A70" s="828"/>
      <c r="B70" s="261" t="s">
        <v>216</v>
      </c>
      <c r="C70" s="191">
        <v>41585</v>
      </c>
      <c r="D70" s="192">
        <v>44265</v>
      </c>
      <c r="E70" s="193">
        <v>44559</v>
      </c>
      <c r="F70" s="194">
        <v>130409</v>
      </c>
      <c r="G70" s="195">
        <v>1427971.184927104</v>
      </c>
      <c r="H70" s="831"/>
      <c r="I70" s="223">
        <v>-2.4055386059610419E-2</v>
      </c>
      <c r="J70" s="224">
        <v>1.3258426966292136E-3</v>
      </c>
      <c r="K70" s="225">
        <v>1.7744933859791256E-3</v>
      </c>
      <c r="L70" s="226">
        <v>1.7744933859791256E-3</v>
      </c>
      <c r="M70" s="227">
        <v>-2.6904244981734826E-2</v>
      </c>
      <c r="R70" s="164">
        <f>(S68-S61)/S61</f>
        <v>0.32831075100691925</v>
      </c>
    </row>
    <row r="71" spans="1:33" ht="13.75" thickBot="1" x14ac:dyDescent="0.75">
      <c r="A71" s="829"/>
      <c r="B71" s="205" t="s">
        <v>217</v>
      </c>
      <c r="C71" s="206">
        <v>40810</v>
      </c>
      <c r="D71" s="207">
        <v>45965</v>
      </c>
      <c r="E71" s="208">
        <v>43664</v>
      </c>
      <c r="F71" s="209">
        <v>130439</v>
      </c>
      <c r="G71" s="195">
        <v>1558410.184927104</v>
      </c>
      <c r="H71" s="831"/>
      <c r="I71" s="250">
        <v>-6.838480445839722E-3</v>
      </c>
      <c r="J71" s="251">
        <v>2.2456386839948484E-2</v>
      </c>
      <c r="K71" s="252">
        <v>1.5302826274781411E-2</v>
      </c>
      <c r="L71" s="239">
        <v>1.5302826274781411E-2</v>
      </c>
      <c r="M71" s="253">
        <v>-2.3506548029273211E-2</v>
      </c>
      <c r="R71" s="164">
        <f>(S68-S66)/S66</f>
        <v>3.9440524632328763E-2</v>
      </c>
    </row>
    <row r="72" spans="1:33" ht="13.75" thickBot="1" x14ac:dyDescent="0.75">
      <c r="A72" s="242" t="s">
        <v>220</v>
      </c>
      <c r="B72" s="243"/>
      <c r="C72" s="212">
        <v>40513.583333333336</v>
      </c>
      <c r="D72" s="212">
        <v>44141.43207725868</v>
      </c>
      <c r="E72" s="212">
        <v>45212.5</v>
      </c>
      <c r="F72" s="213">
        <v>129867.51541059201</v>
      </c>
      <c r="G72" s="213"/>
      <c r="H72" s="831"/>
      <c r="I72" s="244">
        <v>-3.8560478160581502E-2</v>
      </c>
      <c r="J72" s="244">
        <v>-2.9885171297642343E-2</v>
      </c>
      <c r="K72" s="245">
        <v>-3.1206037336698467E-3</v>
      </c>
      <c r="L72" s="246"/>
      <c r="M72" s="245">
        <v>-2.3506548029273211E-2</v>
      </c>
      <c r="W72" s="50">
        <f>W74/0.16/0.0194*0.65</f>
        <v>1261.9925902061855</v>
      </c>
    </row>
    <row r="73" spans="1:33" ht="14.25" x14ac:dyDescent="0.65">
      <c r="A73" s="828">
        <v>2010</v>
      </c>
      <c r="B73" s="217" t="s">
        <v>191</v>
      </c>
      <c r="C73" s="180">
        <v>38769</v>
      </c>
      <c r="D73" s="181">
        <v>40948</v>
      </c>
      <c r="E73" s="182">
        <v>40896</v>
      </c>
      <c r="F73" s="183">
        <v>120613</v>
      </c>
      <c r="G73" s="184">
        <v>120613</v>
      </c>
      <c r="H73" s="843" t="s">
        <v>231</v>
      </c>
      <c r="I73" s="262">
        <v>-3.2009188284936707E-2</v>
      </c>
      <c r="J73" s="258">
        <v>-2.674916706330319E-2</v>
      </c>
      <c r="K73" s="259">
        <v>-2.7518423556351035E-2</v>
      </c>
      <c r="L73" s="221">
        <v>-2.7518423556351035E-2</v>
      </c>
      <c r="M73" s="260">
        <v>-2.7518423556351035E-2</v>
      </c>
      <c r="P73" s="248">
        <v>2015</v>
      </c>
      <c r="S73" s="50">
        <f>S61*1.092</f>
        <v>4.6246200000000011</v>
      </c>
      <c r="X73" s="50">
        <v>852370</v>
      </c>
      <c r="Y73" s="50">
        <f>X73*5</f>
        <v>4261850</v>
      </c>
    </row>
    <row r="74" spans="1:33" ht="14.25" x14ac:dyDescent="0.65">
      <c r="A74" s="828"/>
      <c r="B74" s="190" t="s">
        <v>195</v>
      </c>
      <c r="C74" s="191">
        <v>40353</v>
      </c>
      <c r="D74" s="192">
        <v>42290</v>
      </c>
      <c r="E74" s="193">
        <v>42919</v>
      </c>
      <c r="F74" s="194">
        <v>125562</v>
      </c>
      <c r="G74" s="195">
        <v>246175</v>
      </c>
      <c r="H74" s="844"/>
      <c r="I74" s="263">
        <v>-2.688820295167358E-2</v>
      </c>
      <c r="J74" s="224">
        <v>-2.0851869595966511E-2</v>
      </c>
      <c r="K74" s="225">
        <v>-2.2688885948457749E-2</v>
      </c>
      <c r="L74" s="226">
        <v>-2.2688885948457749E-2</v>
      </c>
      <c r="M74" s="227">
        <v>-2.5061088383108276E-2</v>
      </c>
      <c r="P74" s="248">
        <v>2016</v>
      </c>
      <c r="S74" s="50">
        <f>S73*1.072</f>
        <v>4.9575926400000014</v>
      </c>
      <c r="W74" s="50">
        <f>X74*5/10^6</f>
        <v>6.0265000000000004</v>
      </c>
      <c r="X74" s="50">
        <v>1205300</v>
      </c>
      <c r="Y74" s="50">
        <f>X74*5</f>
        <v>6026500</v>
      </c>
    </row>
    <row r="75" spans="1:33" ht="14.25" x14ac:dyDescent="0.65">
      <c r="A75" s="828"/>
      <c r="B75" s="190" t="s">
        <v>15</v>
      </c>
      <c r="C75" s="191">
        <v>39577.55385956086</v>
      </c>
      <c r="D75" s="192">
        <v>44527</v>
      </c>
      <c r="E75" s="193">
        <v>44702</v>
      </c>
      <c r="F75" s="194">
        <v>128806.55385956087</v>
      </c>
      <c r="G75" s="195">
        <v>374981.55385956087</v>
      </c>
      <c r="H75" s="844"/>
      <c r="I75" s="263">
        <v>-7.2016838388687665E-2</v>
      </c>
      <c r="J75" s="224">
        <v>-1.1170836374897693E-2</v>
      </c>
      <c r="K75" s="225">
        <v>-2.2934431771517327E-2</v>
      </c>
      <c r="L75" s="226">
        <v>-2.2934431771517327E-2</v>
      </c>
      <c r="M75" s="227">
        <v>-2.4331624243661421E-2</v>
      </c>
      <c r="P75" s="248">
        <v>2017</v>
      </c>
      <c r="S75" s="50">
        <f>S74*1.08</f>
        <v>5.3542000512000021</v>
      </c>
      <c r="V75" s="50">
        <f>1/52</f>
        <v>1.9230769230769232E-2</v>
      </c>
    </row>
    <row r="76" spans="1:33" ht="14.25" x14ac:dyDescent="0.65">
      <c r="A76" s="828"/>
      <c r="B76" s="190" t="s">
        <v>16</v>
      </c>
      <c r="C76" s="191">
        <v>38546</v>
      </c>
      <c r="D76" s="192">
        <v>41213</v>
      </c>
      <c r="E76" s="193">
        <v>42389</v>
      </c>
      <c r="F76" s="194">
        <v>122148</v>
      </c>
      <c r="G76" s="195">
        <v>497129.55385956087</v>
      </c>
      <c r="H76" s="844"/>
      <c r="I76" s="263">
        <v>-3.968708737138444E-2</v>
      </c>
      <c r="J76" s="224">
        <v>-5.3816964285714287E-2</v>
      </c>
      <c r="K76" s="225">
        <v>-4.5495037899507706E-2</v>
      </c>
      <c r="L76" s="226">
        <v>-4.5495037899507706E-2</v>
      </c>
      <c r="M76" s="227">
        <v>-2.9618109088643152E-2</v>
      </c>
      <c r="P76" s="248">
        <v>2017</v>
      </c>
      <c r="Q76" s="50" t="s">
        <v>232</v>
      </c>
      <c r="S76" s="50">
        <f>S75/0.16</f>
        <v>33.46375032000001</v>
      </c>
      <c r="V76" s="50">
        <f>1/7</f>
        <v>0.14285714285714285</v>
      </c>
      <c r="X76" s="164">
        <f>(X74-X73)/X73</f>
        <v>0.41405727559627858</v>
      </c>
    </row>
    <row r="77" spans="1:33" ht="14.25" x14ac:dyDescent="0.65">
      <c r="A77" s="828"/>
      <c r="B77" s="190" t="s">
        <v>17</v>
      </c>
      <c r="C77" s="191">
        <v>42047</v>
      </c>
      <c r="D77" s="192">
        <v>46617</v>
      </c>
      <c r="E77" s="193">
        <v>48759</v>
      </c>
      <c r="F77" s="194">
        <v>137423</v>
      </c>
      <c r="G77" s="195">
        <v>634552.55385956087</v>
      </c>
      <c r="H77" s="844"/>
      <c r="I77" s="263">
        <v>2.1972145930048852E-2</v>
      </c>
      <c r="J77" s="224">
        <v>4.0769280027321823E-2</v>
      </c>
      <c r="K77" s="225">
        <v>3.202961894891776E-2</v>
      </c>
      <c r="L77" s="226">
        <v>3.202961894891776E-2</v>
      </c>
      <c r="M77" s="227">
        <v>-1.6900240510951292E-2</v>
      </c>
      <c r="P77" s="248">
        <v>2012</v>
      </c>
      <c r="Q77" s="50" t="s">
        <v>233</v>
      </c>
      <c r="S77" s="50">
        <f>S76/0.0194</f>
        <v>1724.9355835051551</v>
      </c>
      <c r="U77" s="50">
        <f>S75*365</f>
        <v>1954.2830186880008</v>
      </c>
      <c r="AG77" s="50">
        <f>1/0.16</f>
        <v>6.25</v>
      </c>
    </row>
    <row r="78" spans="1:33" x14ac:dyDescent="0.6">
      <c r="A78" s="828"/>
      <c r="B78" s="190" t="s">
        <v>18</v>
      </c>
      <c r="C78" s="191">
        <v>38698</v>
      </c>
      <c r="D78" s="192">
        <v>44896</v>
      </c>
      <c r="E78" s="193">
        <v>47264</v>
      </c>
      <c r="F78" s="194">
        <v>130858</v>
      </c>
      <c r="G78" s="195">
        <v>765410.55385956087</v>
      </c>
      <c r="H78" s="844"/>
      <c r="I78" s="263">
        <v>-1.6269256189943567E-2</v>
      </c>
      <c r="J78" s="224">
        <v>-5.8474611922089944E-3</v>
      </c>
      <c r="K78" s="225">
        <v>-1.042076287848992E-2</v>
      </c>
      <c r="L78" s="226">
        <v>-1.042076287848992E-2</v>
      </c>
      <c r="M78" s="227">
        <v>-1.5798500110504654E-2</v>
      </c>
      <c r="P78" s="255">
        <v>0.65</v>
      </c>
      <c r="Q78" s="50" t="s">
        <v>234</v>
      </c>
      <c r="S78" s="50">
        <f>S77*0.65</f>
        <v>1121.208129278351</v>
      </c>
      <c r="AG78" s="50">
        <f>1/1.94</f>
        <v>0.51546391752577325</v>
      </c>
    </row>
    <row r="79" spans="1:33" x14ac:dyDescent="0.6">
      <c r="A79" s="828"/>
      <c r="B79" s="190" t="s">
        <v>19</v>
      </c>
      <c r="C79" s="191">
        <v>32469.834451891707</v>
      </c>
      <c r="D79" s="192">
        <v>40894</v>
      </c>
      <c r="E79" s="193">
        <v>45038</v>
      </c>
      <c r="F79" s="194">
        <v>118401.83445189171</v>
      </c>
      <c r="G79" s="195">
        <v>883812.38831145258</v>
      </c>
      <c r="H79" s="844"/>
      <c r="I79" s="263">
        <v>-0.1049717610702986</v>
      </c>
      <c r="J79" s="224">
        <v>-3.2356479889996563E-2</v>
      </c>
      <c r="K79" s="225">
        <v>-5.9384681459744737E-2</v>
      </c>
      <c r="L79" s="226">
        <v>-5.9384681459744737E-2</v>
      </c>
      <c r="M79" s="227">
        <v>-2.1870496150340091E-2</v>
      </c>
    </row>
    <row r="80" spans="1:33" x14ac:dyDescent="0.6">
      <c r="A80" s="828"/>
      <c r="B80" s="190" t="s">
        <v>20</v>
      </c>
      <c r="C80" s="191">
        <v>39203</v>
      </c>
      <c r="D80" s="192">
        <v>44069</v>
      </c>
      <c r="E80" s="193">
        <v>46872</v>
      </c>
      <c r="F80" s="194">
        <v>130144</v>
      </c>
      <c r="G80" s="195">
        <v>1013956.3883114526</v>
      </c>
      <c r="H80" s="844"/>
      <c r="I80" s="263">
        <v>6.6764245178851144E-3</v>
      </c>
      <c r="J80" s="224">
        <v>4.3497825108744564E-3</v>
      </c>
      <c r="K80" s="225">
        <v>6.9050665059613436E-3</v>
      </c>
      <c r="L80" s="226">
        <v>6.9050665059613436E-3</v>
      </c>
      <c r="M80" s="227">
        <v>-1.8269418444956553E-2</v>
      </c>
    </row>
    <row r="81" spans="1:24" x14ac:dyDescent="0.6">
      <c r="A81" s="828"/>
      <c r="B81" s="190" t="s">
        <v>211</v>
      </c>
      <c r="C81" s="191">
        <v>41946</v>
      </c>
      <c r="D81" s="192">
        <v>44929</v>
      </c>
      <c r="E81" s="193">
        <v>46070</v>
      </c>
      <c r="F81" s="194">
        <v>132945</v>
      </c>
      <c r="G81" s="195">
        <v>1146901.3883114527</v>
      </c>
      <c r="H81" s="844"/>
      <c r="I81" s="263">
        <v>-9.3992064991498207E-3</v>
      </c>
      <c r="J81" s="224">
        <v>-6.3411267362608924E-3</v>
      </c>
      <c r="K81" s="225">
        <v>-8.1032752852555623E-3</v>
      </c>
      <c r="L81" s="226">
        <v>-8.1032752852555623E-3</v>
      </c>
      <c r="M81" s="227">
        <v>-1.7101683475177598E-2</v>
      </c>
    </row>
    <row r="82" spans="1:24" x14ac:dyDescent="0.6">
      <c r="A82" s="828"/>
      <c r="B82" s="190" t="s">
        <v>213</v>
      </c>
      <c r="C82" s="191">
        <v>41381</v>
      </c>
      <c r="D82" s="192">
        <v>44334</v>
      </c>
      <c r="E82" s="193">
        <v>45824</v>
      </c>
      <c r="F82" s="194">
        <v>131539</v>
      </c>
      <c r="G82" s="195">
        <v>1278440.3883114527</v>
      </c>
      <c r="H82" s="844"/>
      <c r="I82" s="263">
        <v>-8.2095858988289264E-4</v>
      </c>
      <c r="J82" s="224">
        <v>2.9775950021348793E-2</v>
      </c>
      <c r="K82" s="225">
        <v>6.3762817171668651E-3</v>
      </c>
      <c r="L82" s="226">
        <v>6.3762817171668651E-3</v>
      </c>
      <c r="M82" s="227">
        <v>-1.4736709221165878E-2</v>
      </c>
      <c r="S82" s="50">
        <f>1/(0.16*0.0194)</f>
        <v>322.16494845360825</v>
      </c>
      <c r="V82" s="50">
        <f>1/0.16</f>
        <v>6.25</v>
      </c>
      <c r="W82" s="50">
        <v>7</v>
      </c>
      <c r="X82" s="50">
        <f>V82/W82</f>
        <v>0.8928571428571429</v>
      </c>
    </row>
    <row r="83" spans="1:24" x14ac:dyDescent="0.6">
      <c r="A83" s="828"/>
      <c r="B83" s="190" t="s">
        <v>216</v>
      </c>
      <c r="C83" s="191">
        <v>38837.210682722696</v>
      </c>
      <c r="D83" s="192">
        <v>44338</v>
      </c>
      <c r="E83" s="193">
        <v>44525</v>
      </c>
      <c r="F83" s="194">
        <v>127700.2106827227</v>
      </c>
      <c r="G83" s="195">
        <v>1406140.5989941754</v>
      </c>
      <c r="H83" s="844"/>
      <c r="I83" s="263">
        <v>-6.6076453463443638E-2</v>
      </c>
      <c r="J83" s="224">
        <v>-7.6303328171637601E-4</v>
      </c>
      <c r="K83" s="225">
        <v>-2.0771490597100706E-2</v>
      </c>
      <c r="L83" s="226">
        <v>-2.0771490597100706E-2</v>
      </c>
      <c r="M83" s="227">
        <v>-1.5287833650538984E-2</v>
      </c>
      <c r="V83" s="50">
        <f>1/0.0194</f>
        <v>51.546391752577321</v>
      </c>
      <c r="W83" s="50">
        <v>52</v>
      </c>
      <c r="X83" s="50">
        <f>V83/W83</f>
        <v>0.99127676447264079</v>
      </c>
    </row>
    <row r="84" spans="1:24" ht="13.75" thickBot="1" x14ac:dyDescent="0.75">
      <c r="A84" s="829"/>
      <c r="B84" s="190" t="s">
        <v>217</v>
      </c>
      <c r="C84" s="264">
        <v>40499</v>
      </c>
      <c r="D84" s="265">
        <v>46137</v>
      </c>
      <c r="E84" s="266">
        <v>44030</v>
      </c>
      <c r="F84" s="209">
        <v>130666</v>
      </c>
      <c r="G84" s="195">
        <v>1536806.5989941754</v>
      </c>
      <c r="H84" s="844"/>
      <c r="I84" s="263">
        <v>-7.6206812055868659E-3</v>
      </c>
      <c r="J84" s="224">
        <v>8.3821912788567248E-3</v>
      </c>
      <c r="K84" s="225">
        <v>1.7402770643748511E-3</v>
      </c>
      <c r="L84" s="226">
        <v>1.7402770643748511E-3</v>
      </c>
      <c r="M84" s="227">
        <v>-1.3862580045919781E-2</v>
      </c>
    </row>
    <row r="85" spans="1:24" ht="13.75" thickBot="1" x14ac:dyDescent="0.75">
      <c r="A85" s="242" t="s">
        <v>220</v>
      </c>
      <c r="B85" s="243"/>
      <c r="C85" s="212">
        <v>39360.54991618127</v>
      </c>
      <c r="D85" s="212">
        <v>43766</v>
      </c>
      <c r="E85" s="212">
        <v>44940.666666666664</v>
      </c>
      <c r="F85" s="213">
        <v>128067.21658284795</v>
      </c>
      <c r="G85" s="213"/>
      <c r="H85" s="845"/>
      <c r="I85" s="267">
        <v>-2.8460415551625262E-2</v>
      </c>
      <c r="J85" s="244">
        <v>-8.5052083630087205E-3</v>
      </c>
      <c r="K85" s="245">
        <v>-6.0123490922495693E-3</v>
      </c>
      <c r="L85" s="246"/>
      <c r="M85" s="245">
        <v>-1.3862580045919781E-2</v>
      </c>
    </row>
    <row r="86" spans="1:24" x14ac:dyDescent="0.6">
      <c r="A86" s="828">
        <v>2011</v>
      </c>
      <c r="B86" s="268" t="s">
        <v>191</v>
      </c>
      <c r="C86" s="269">
        <v>34438</v>
      </c>
      <c r="D86" s="270">
        <v>40650</v>
      </c>
      <c r="E86" s="271">
        <v>40584</v>
      </c>
      <c r="F86" s="183">
        <v>115672</v>
      </c>
      <c r="G86" s="184">
        <v>115672</v>
      </c>
      <c r="H86" s="831" t="s">
        <v>235</v>
      </c>
      <c r="I86" s="272">
        <v>-0.11171296654543579</v>
      </c>
      <c r="J86" s="273">
        <v>-7.2775227117319527E-3</v>
      </c>
      <c r="K86" s="274">
        <v>-7.6291079812206572E-3</v>
      </c>
      <c r="L86" s="275">
        <v>-4.0965733378657387E-2</v>
      </c>
      <c r="M86" s="276">
        <v>-4.0965733378657387E-2</v>
      </c>
    </row>
    <row r="87" spans="1:24" x14ac:dyDescent="0.6">
      <c r="A87" s="828"/>
      <c r="B87" s="277" t="s">
        <v>195</v>
      </c>
      <c r="C87" s="269">
        <v>38278</v>
      </c>
      <c r="D87" s="270">
        <v>41594</v>
      </c>
      <c r="E87" s="271">
        <v>42191</v>
      </c>
      <c r="F87" s="194">
        <v>122063</v>
      </c>
      <c r="G87" s="195">
        <v>237735</v>
      </c>
      <c r="H87" s="831"/>
      <c r="I87" s="278">
        <v>-5.1421207840804894E-2</v>
      </c>
      <c r="J87" s="279">
        <v>-1.6457791440056751E-2</v>
      </c>
      <c r="K87" s="280">
        <v>-1.6962184580255831E-2</v>
      </c>
      <c r="L87" s="281">
        <v>-2.786671126614737E-2</v>
      </c>
      <c r="M87" s="282">
        <v>-3.4284553671168894E-2</v>
      </c>
    </row>
    <row r="88" spans="1:24" x14ac:dyDescent="0.6">
      <c r="A88" s="828"/>
      <c r="B88" s="268" t="s">
        <v>15</v>
      </c>
      <c r="C88" s="269">
        <v>39577.55385956086</v>
      </c>
      <c r="D88" s="270">
        <v>42024</v>
      </c>
      <c r="E88" s="271">
        <v>42382</v>
      </c>
      <c r="F88" s="194">
        <v>123983.55385956087</v>
      </c>
      <c r="G88" s="195">
        <v>361718.55385956087</v>
      </c>
      <c r="H88" s="831"/>
      <c r="I88" s="278">
        <v>0</v>
      </c>
      <c r="J88" s="279">
        <v>-5.6213084196105732E-2</v>
      </c>
      <c r="K88" s="280">
        <v>-5.1899243881705519E-2</v>
      </c>
      <c r="L88" s="281">
        <v>-3.7443746886191565E-2</v>
      </c>
      <c r="M88" s="282">
        <v>-3.53697398271684E-2</v>
      </c>
    </row>
    <row r="89" spans="1:24" x14ac:dyDescent="0.6">
      <c r="A89" s="828"/>
      <c r="B89" s="277" t="s">
        <v>16</v>
      </c>
      <c r="C89" s="283">
        <v>38191</v>
      </c>
      <c r="D89" s="284">
        <v>41786</v>
      </c>
      <c r="E89" s="285">
        <v>42456</v>
      </c>
      <c r="F89" s="194">
        <v>122433</v>
      </c>
      <c r="G89" s="195">
        <v>484151.55385956087</v>
      </c>
      <c r="H89" s="831"/>
      <c r="I89" s="286">
        <v>-9.2097753333679234E-3</v>
      </c>
      <c r="J89" s="287">
        <v>1.3903380001455851E-2</v>
      </c>
      <c r="K89" s="288">
        <v>1.5805987402392129E-3</v>
      </c>
      <c r="L89" s="289">
        <v>2.3332350918556788E-3</v>
      </c>
      <c r="M89" s="290">
        <v>-2.6105870993270885E-2</v>
      </c>
    </row>
    <row r="90" spans="1:24" x14ac:dyDescent="0.6">
      <c r="A90" s="828"/>
      <c r="B90" s="268" t="s">
        <v>17</v>
      </c>
      <c r="C90" s="269">
        <v>40629</v>
      </c>
      <c r="D90" s="270">
        <v>44902.820709191597</v>
      </c>
      <c r="E90" s="271">
        <v>45805</v>
      </c>
      <c r="F90" s="194">
        <v>131336.82070919161</v>
      </c>
      <c r="G90" s="195">
        <v>615488.37456875248</v>
      </c>
      <c r="H90" s="831"/>
      <c r="I90" s="278">
        <v>-3.372416581444574E-2</v>
      </c>
      <c r="J90" s="279">
        <v>-3.6771548808554877E-2</v>
      </c>
      <c r="K90" s="280">
        <v>-6.0583687114173793E-2</v>
      </c>
      <c r="L90" s="281">
        <v>-4.4287923352047232E-2</v>
      </c>
      <c r="M90" s="282">
        <v>-3.0043499430982834E-2</v>
      </c>
    </row>
    <row r="91" spans="1:24" x14ac:dyDescent="0.6">
      <c r="A91" s="828"/>
      <c r="B91" s="277" t="s">
        <v>18</v>
      </c>
      <c r="C91" s="283">
        <v>37310</v>
      </c>
      <c r="D91" s="284">
        <v>43292.140361930658</v>
      </c>
      <c r="E91" s="285">
        <v>46102</v>
      </c>
      <c r="F91" s="194">
        <v>126704.14036193065</v>
      </c>
      <c r="G91" s="195">
        <v>742192.51493068319</v>
      </c>
      <c r="H91" s="831"/>
      <c r="I91" s="286">
        <v>-3.5867486691818697E-2</v>
      </c>
      <c r="J91" s="287">
        <v>-3.5723887162984268E-2</v>
      </c>
      <c r="K91" s="288">
        <v>-2.4585308056872038E-2</v>
      </c>
      <c r="L91" s="289">
        <v>-3.1743260924585015E-2</v>
      </c>
      <c r="M91" s="290">
        <v>-3.0334098232381757E-2</v>
      </c>
    </row>
    <row r="92" spans="1:24" x14ac:dyDescent="0.6">
      <c r="A92" s="828"/>
      <c r="B92" s="268" t="s">
        <v>19</v>
      </c>
      <c r="C92" s="291">
        <v>32469.834451891707</v>
      </c>
      <c r="D92" s="292">
        <v>40295</v>
      </c>
      <c r="E92" s="293">
        <v>44324</v>
      </c>
      <c r="F92" s="194">
        <v>117088.83445189171</v>
      </c>
      <c r="G92" s="195">
        <v>859281.3493825749</v>
      </c>
      <c r="H92" s="831"/>
      <c r="I92" s="278">
        <v>0</v>
      </c>
      <c r="J92" s="279">
        <v>-1.4647625568543063E-2</v>
      </c>
      <c r="K92" s="280">
        <v>-1.5853279452906436E-2</v>
      </c>
      <c r="L92" s="281">
        <v>-1.1089355212089091E-2</v>
      </c>
      <c r="M92" s="282">
        <v>-2.775593469078308E-2</v>
      </c>
    </row>
    <row r="93" spans="1:24" x14ac:dyDescent="0.6">
      <c r="A93" s="828"/>
      <c r="B93" s="277" t="s">
        <v>20</v>
      </c>
      <c r="C93" s="283">
        <v>39501</v>
      </c>
      <c r="D93" s="284">
        <v>43816</v>
      </c>
      <c r="E93" s="285">
        <v>47395</v>
      </c>
      <c r="F93" s="194">
        <v>130712</v>
      </c>
      <c r="G93" s="195">
        <v>989993.3493825749</v>
      </c>
      <c r="H93" s="831"/>
      <c r="I93" s="286">
        <v>7.6014590720097953E-3</v>
      </c>
      <c r="J93" s="287">
        <v>-5.7409970727722434E-3</v>
      </c>
      <c r="K93" s="288">
        <v>1.1158047448370029E-2</v>
      </c>
      <c r="L93" s="289">
        <v>4.3643963609540926E-3</v>
      </c>
      <c r="M93" s="290">
        <v>-2.3633204746392966E-2</v>
      </c>
    </row>
    <row r="94" spans="1:24" x14ac:dyDescent="0.6">
      <c r="A94" s="828"/>
      <c r="B94" s="268" t="s">
        <v>211</v>
      </c>
      <c r="C94" s="269">
        <v>42149</v>
      </c>
      <c r="D94" s="270">
        <v>44852</v>
      </c>
      <c r="E94" s="271">
        <v>46305</v>
      </c>
      <c r="F94" s="194">
        <v>133306</v>
      </c>
      <c r="G94" s="195">
        <v>1123299.3493825749</v>
      </c>
      <c r="H94" s="831"/>
      <c r="I94" s="278">
        <v>4.8395556191293569E-3</v>
      </c>
      <c r="J94" s="279">
        <v>-1.7138151305392953E-3</v>
      </c>
      <c r="K94" s="280">
        <v>5.1009333622747989E-3</v>
      </c>
      <c r="L94" s="281">
        <v>2.7154086276279799E-3</v>
      </c>
      <c r="M94" s="282">
        <v>-2.0578960989511397E-2</v>
      </c>
    </row>
    <row r="95" spans="1:24" x14ac:dyDescent="0.6">
      <c r="A95" s="828"/>
      <c r="B95" s="277" t="s">
        <v>213</v>
      </c>
      <c r="C95" s="269">
        <v>38837.210682722696</v>
      </c>
      <c r="D95" s="270">
        <v>43630</v>
      </c>
      <c r="E95" s="271">
        <v>44120</v>
      </c>
      <c r="F95" s="194">
        <v>126587.2106827227</v>
      </c>
      <c r="G95" s="195">
        <v>1249886.5600652976</v>
      </c>
      <c r="H95" s="831"/>
      <c r="I95" s="278">
        <v>-6.147239837793441E-2</v>
      </c>
      <c r="J95" s="279">
        <v>-1.5879460459241216E-2</v>
      </c>
      <c r="K95" s="280">
        <v>-3.7185754189944131E-2</v>
      </c>
      <c r="L95" s="281">
        <v>-3.764502784176027E-2</v>
      </c>
      <c r="M95" s="282">
        <v>-2.2334892191468225E-2</v>
      </c>
    </row>
    <row r="96" spans="1:24" x14ac:dyDescent="0.6">
      <c r="A96" s="828"/>
      <c r="B96" s="268" t="s">
        <v>216</v>
      </c>
      <c r="C96" s="269">
        <v>38914</v>
      </c>
      <c r="D96" s="270">
        <v>45013</v>
      </c>
      <c r="E96" s="271">
        <v>43954</v>
      </c>
      <c r="F96" s="194">
        <v>127881</v>
      </c>
      <c r="G96" s="195">
        <v>1377767.5600652976</v>
      </c>
      <c r="H96" s="831"/>
      <c r="I96" s="278">
        <v>1.9772098955465056E-3</v>
      </c>
      <c r="J96" s="279">
        <v>1.5223961387523117E-2</v>
      </c>
      <c r="K96" s="280">
        <v>-1.2824256035934869E-2</v>
      </c>
      <c r="L96" s="281">
        <v>1.4157323336487782E-3</v>
      </c>
      <c r="M96" s="282">
        <v>-2.0177953007809668E-2</v>
      </c>
    </row>
    <row r="97" spans="1:23" ht="13.75" thickBot="1" x14ac:dyDescent="0.75">
      <c r="A97" s="829"/>
      <c r="B97" s="277" t="s">
        <v>217</v>
      </c>
      <c r="C97" s="269">
        <v>39009</v>
      </c>
      <c r="D97" s="270">
        <v>44817</v>
      </c>
      <c r="E97" s="271">
        <v>41196</v>
      </c>
      <c r="F97" s="209">
        <v>125022</v>
      </c>
      <c r="G97" s="195">
        <v>1502789.5600652976</v>
      </c>
      <c r="H97" s="831"/>
      <c r="I97" s="294">
        <v>-3.6791031877330307E-2</v>
      </c>
      <c r="J97" s="295">
        <v>-2.8610442811626245E-2</v>
      </c>
      <c r="K97" s="296">
        <v>-6.4365205541676129E-2</v>
      </c>
      <c r="L97" s="297">
        <v>-4.3194097929071029E-2</v>
      </c>
      <c r="M97" s="298">
        <v>-2.2134886036500379E-2</v>
      </c>
    </row>
    <row r="98" spans="1:23" ht="13.75" thickBot="1" x14ac:dyDescent="0.75">
      <c r="A98" s="242" t="s">
        <v>220</v>
      </c>
      <c r="B98" s="243"/>
      <c r="C98" s="212">
        <v>38275.29991618127</v>
      </c>
      <c r="D98" s="212">
        <v>43055.996755926855</v>
      </c>
      <c r="E98" s="212">
        <v>43901.166666666664</v>
      </c>
      <c r="F98" s="213">
        <v>125232.4633387748</v>
      </c>
      <c r="G98" s="213"/>
      <c r="H98" s="832"/>
      <c r="I98" s="244">
        <v>-2.7572023315503791E-2</v>
      </c>
      <c r="J98" s="244">
        <v>-1.6222712701026931E-2</v>
      </c>
      <c r="K98" s="245">
        <v>-2.3130497989942267E-2</v>
      </c>
      <c r="L98" s="246"/>
      <c r="M98" s="245">
        <v>-2.2134886036500379E-2</v>
      </c>
    </row>
    <row r="99" spans="1:23" x14ac:dyDescent="0.6">
      <c r="A99" s="828">
        <v>2012</v>
      </c>
      <c r="B99" s="268" t="s">
        <v>191</v>
      </c>
      <c r="C99" s="269">
        <v>36756</v>
      </c>
      <c r="D99" s="270">
        <v>40229</v>
      </c>
      <c r="E99" s="271">
        <v>37935</v>
      </c>
      <c r="F99" s="183">
        <v>114920</v>
      </c>
      <c r="G99" s="184">
        <v>114920</v>
      </c>
      <c r="H99" s="830" t="s">
        <v>236</v>
      </c>
      <c r="I99" s="272">
        <v>6.7309367559091698E-2</v>
      </c>
      <c r="J99" s="273">
        <v>-1.035670356703567E-2</v>
      </c>
      <c r="K99" s="274">
        <v>-6.5272028385570668E-2</v>
      </c>
      <c r="L99" s="275">
        <v>-6.5011411577564626E-3</v>
      </c>
      <c r="M99" s="276">
        <v>-6.5011411577564626E-3</v>
      </c>
    </row>
    <row r="100" spans="1:23" x14ac:dyDescent="0.6">
      <c r="A100" s="828"/>
      <c r="B100" s="277" t="s">
        <v>195</v>
      </c>
      <c r="C100" s="269">
        <v>39916</v>
      </c>
      <c r="D100" s="270">
        <v>42641</v>
      </c>
      <c r="E100" s="271">
        <v>42098</v>
      </c>
      <c r="F100" s="194">
        <v>124655</v>
      </c>
      <c r="G100" s="195">
        <v>239575</v>
      </c>
      <c r="H100" s="831"/>
      <c r="I100" s="278">
        <v>4.2792204399393907E-2</v>
      </c>
      <c r="J100" s="279">
        <v>2.5171899793239409E-2</v>
      </c>
      <c r="K100" s="280">
        <v>-2.204261572373255E-3</v>
      </c>
      <c r="L100" s="281">
        <v>2.1234936057609621E-2</v>
      </c>
      <c r="M100" s="282">
        <v>7.7397101815046554E-3</v>
      </c>
    </row>
    <row r="101" spans="1:23" x14ac:dyDescent="0.6">
      <c r="A101" s="828"/>
      <c r="B101" s="268" t="s">
        <v>15</v>
      </c>
      <c r="C101" s="269">
        <v>40799</v>
      </c>
      <c r="D101" s="270">
        <v>42827.129822515941</v>
      </c>
      <c r="E101" s="271">
        <v>43161</v>
      </c>
      <c r="F101" s="194">
        <v>126787.12982251594</v>
      </c>
      <c r="G101" s="195">
        <v>366362.12982251594</v>
      </c>
      <c r="H101" s="831"/>
      <c r="I101" s="278">
        <v>3.0862092810823687E-2</v>
      </c>
      <c r="J101" s="279">
        <v>1.9111217935368855E-2</v>
      </c>
      <c r="K101" s="280">
        <v>1.8380444528337501E-2</v>
      </c>
      <c r="L101" s="281">
        <v>2.2612482669521983E-2</v>
      </c>
      <c r="M101" s="282">
        <v>1.2837538780932967E-2</v>
      </c>
    </row>
    <row r="102" spans="1:23" x14ac:dyDescent="0.6">
      <c r="A102" s="828"/>
      <c r="B102" s="277" t="s">
        <v>16</v>
      </c>
      <c r="C102" s="269">
        <v>37312</v>
      </c>
      <c r="D102" s="270">
        <v>41032</v>
      </c>
      <c r="E102" s="271">
        <v>42770</v>
      </c>
      <c r="F102" s="194">
        <v>121114</v>
      </c>
      <c r="G102" s="195">
        <v>487476.12982251594</v>
      </c>
      <c r="H102" s="831"/>
      <c r="I102" s="278">
        <v>-2.3015893796967873E-2</v>
      </c>
      <c r="J102" s="279">
        <v>-1.8044321064471354E-2</v>
      </c>
      <c r="K102" s="280">
        <v>7.3958922178255131E-3</v>
      </c>
      <c r="L102" s="281">
        <v>-1.0773239241054333E-2</v>
      </c>
      <c r="M102" s="282">
        <v>6.8668084124736684E-3</v>
      </c>
    </row>
    <row r="103" spans="1:23" x14ac:dyDescent="0.6">
      <c r="A103" s="828"/>
      <c r="B103" s="268" t="s">
        <v>17</v>
      </c>
      <c r="C103" s="269">
        <v>39532</v>
      </c>
      <c r="D103" s="270">
        <v>44101</v>
      </c>
      <c r="E103" s="271">
        <v>47730</v>
      </c>
      <c r="F103" s="194">
        <v>131363</v>
      </c>
      <c r="G103" s="195">
        <v>618839.12982251588</v>
      </c>
      <c r="H103" s="831"/>
      <c r="I103" s="278">
        <v>-2.700041842034015E-2</v>
      </c>
      <c r="J103" s="279">
        <v>-1.7856800453238897E-2</v>
      </c>
      <c r="K103" s="280">
        <v>4.2025979696539678E-2</v>
      </c>
      <c r="L103" s="281">
        <v>1.9932940866862481E-4</v>
      </c>
      <c r="M103" s="282">
        <v>5.4440593717324237E-3</v>
      </c>
      <c r="S103" s="50">
        <v>2005</v>
      </c>
      <c r="T103" s="50">
        <v>116359</v>
      </c>
      <c r="V103" s="112">
        <v>1396313</v>
      </c>
    </row>
    <row r="104" spans="1:23" x14ac:dyDescent="0.6">
      <c r="A104" s="828"/>
      <c r="B104" s="277" t="s">
        <v>18</v>
      </c>
      <c r="C104" s="269">
        <v>38535</v>
      </c>
      <c r="D104" s="270">
        <v>45391</v>
      </c>
      <c r="E104" s="271">
        <v>49113</v>
      </c>
      <c r="F104" s="194">
        <v>133039</v>
      </c>
      <c r="G104" s="195">
        <v>751878.12982251588</v>
      </c>
      <c r="H104" s="831"/>
      <c r="I104" s="278">
        <v>3.283302063789869E-2</v>
      </c>
      <c r="J104" s="279">
        <v>4.8481309090344565E-2</v>
      </c>
      <c r="K104" s="280">
        <v>6.5311700143160817E-2</v>
      </c>
      <c r="L104" s="281">
        <v>4.9997258337208361E-2</v>
      </c>
      <c r="M104" s="282">
        <v>1.3050003465391091E-2</v>
      </c>
      <c r="S104" s="50">
        <v>2006</v>
      </c>
      <c r="T104" s="50">
        <v>120896</v>
      </c>
      <c r="U104" s="162">
        <f t="shared" ref="U104:U117" si="30">(T104-T103)/T103</f>
        <v>3.8991397313486706E-2</v>
      </c>
      <c r="V104" s="112">
        <v>1450748</v>
      </c>
      <c r="W104" s="162">
        <f t="shared" ref="W104:W116" si="31">(V104-V103)/V103</f>
        <v>3.898481214455498E-2</v>
      </c>
    </row>
    <row r="105" spans="1:23" x14ac:dyDescent="0.6">
      <c r="A105" s="828"/>
      <c r="B105" s="268" t="s">
        <v>19</v>
      </c>
      <c r="C105" s="269">
        <v>35019</v>
      </c>
      <c r="D105" s="270">
        <v>42613</v>
      </c>
      <c r="E105" s="271">
        <v>45682</v>
      </c>
      <c r="F105" s="194">
        <v>123314</v>
      </c>
      <c r="G105" s="195">
        <v>875192.12982251588</v>
      </c>
      <c r="H105" s="831"/>
      <c r="I105" s="278">
        <v>7.8508732524805863E-2</v>
      </c>
      <c r="J105" s="279">
        <v>5.7525747611366175E-2</v>
      </c>
      <c r="K105" s="280">
        <v>3.0638029058749211E-2</v>
      </c>
      <c r="L105" s="281">
        <v>5.316617572673854E-2</v>
      </c>
      <c r="M105" s="282">
        <v>1.8516380521203413E-2</v>
      </c>
      <c r="S105" s="50">
        <v>2007</v>
      </c>
      <c r="T105" s="50">
        <v>131844</v>
      </c>
      <c r="U105" s="162">
        <f t="shared" si="30"/>
        <v>9.0557173107464264E-2</v>
      </c>
      <c r="V105" s="112">
        <v>1582122</v>
      </c>
      <c r="W105" s="162">
        <f t="shared" si="31"/>
        <v>9.0556044192375243E-2</v>
      </c>
    </row>
    <row r="106" spans="1:23" x14ac:dyDescent="0.6">
      <c r="A106" s="828"/>
      <c r="B106" s="277" t="s">
        <v>20</v>
      </c>
      <c r="C106" s="269">
        <v>38080</v>
      </c>
      <c r="D106" s="270">
        <v>44481</v>
      </c>
      <c r="E106" s="271">
        <v>46569</v>
      </c>
      <c r="F106" s="194">
        <v>129130</v>
      </c>
      <c r="G106" s="195">
        <v>1004322.1298225159</v>
      </c>
      <c r="H106" s="831"/>
      <c r="I106" s="278">
        <v>-3.5973772815878081E-2</v>
      </c>
      <c r="J106" s="279">
        <v>1.5177104254153733E-2</v>
      </c>
      <c r="K106" s="280">
        <v>-1.7427998734043677E-2</v>
      </c>
      <c r="L106" s="281">
        <v>-1.2102943876614258E-2</v>
      </c>
      <c r="M106" s="282">
        <v>1.4473612826669369E-2</v>
      </c>
      <c r="S106" s="50">
        <v>2008</v>
      </c>
      <c r="T106" s="50">
        <v>132994</v>
      </c>
      <c r="U106" s="162">
        <f t="shared" si="30"/>
        <v>8.7224295379387754E-3</v>
      </c>
      <c r="V106" s="112">
        <v>1595925</v>
      </c>
      <c r="W106" s="162">
        <f t="shared" si="31"/>
        <v>8.7243588041882991E-3</v>
      </c>
    </row>
    <row r="107" spans="1:23" x14ac:dyDescent="0.6">
      <c r="A107" s="828"/>
      <c r="B107" s="268" t="s">
        <v>211</v>
      </c>
      <c r="C107" s="269">
        <v>40494</v>
      </c>
      <c r="D107" s="270">
        <v>45206</v>
      </c>
      <c r="E107" s="271">
        <v>45960</v>
      </c>
      <c r="F107" s="194">
        <v>131660</v>
      </c>
      <c r="G107" s="195">
        <v>1135982.1298225159</v>
      </c>
      <c r="H107" s="831"/>
      <c r="I107" s="278">
        <v>-3.9265463000308427E-2</v>
      </c>
      <c r="J107" s="279">
        <v>7.8926246321234274E-3</v>
      </c>
      <c r="K107" s="280">
        <v>-7.4505992873339809E-3</v>
      </c>
      <c r="L107" s="281">
        <v>-1.2347531243904974E-2</v>
      </c>
      <c r="M107" s="282">
        <v>1.1290650570493277E-2</v>
      </c>
      <c r="S107" s="50">
        <v>2009</v>
      </c>
      <c r="T107" s="50">
        <v>129868</v>
      </c>
      <c r="U107" s="162">
        <f t="shared" si="30"/>
        <v>-2.3504819766305248E-2</v>
      </c>
      <c r="V107" s="112">
        <v>1558410</v>
      </c>
      <c r="W107" s="162">
        <f t="shared" si="31"/>
        <v>-2.3506743737957612E-2</v>
      </c>
    </row>
    <row r="108" spans="1:23" x14ac:dyDescent="0.6">
      <c r="A108" s="828"/>
      <c r="B108" s="277" t="s">
        <v>213</v>
      </c>
      <c r="C108" s="269">
        <v>40938</v>
      </c>
      <c r="D108" s="270">
        <v>45269</v>
      </c>
      <c r="E108" s="271">
        <v>45129</v>
      </c>
      <c r="F108" s="194">
        <v>131336</v>
      </c>
      <c r="G108" s="195">
        <v>1267318.1298225159</v>
      </c>
      <c r="H108" s="831"/>
      <c r="I108" s="278">
        <v>5.4092178103096134E-2</v>
      </c>
      <c r="J108" s="279">
        <v>3.7565895026358008E-2</v>
      </c>
      <c r="K108" s="280">
        <v>2.2869446962828648E-2</v>
      </c>
      <c r="L108" s="281">
        <v>3.7513973897249642E-2</v>
      </c>
      <c r="M108" s="282">
        <v>1.3946521479763385E-2</v>
      </c>
      <c r="S108" s="50">
        <v>2010</v>
      </c>
      <c r="T108" s="50">
        <v>128067</v>
      </c>
      <c r="U108" s="162">
        <f t="shared" si="30"/>
        <v>-1.3867927434009917E-2</v>
      </c>
      <c r="V108" s="112">
        <v>1536807</v>
      </c>
      <c r="W108" s="162">
        <f t="shared" si="31"/>
        <v>-1.386220570966562E-2</v>
      </c>
    </row>
    <row r="109" spans="1:23" x14ac:dyDescent="0.6">
      <c r="A109" s="828"/>
      <c r="B109" s="268" t="s">
        <v>216</v>
      </c>
      <c r="C109" s="269">
        <v>40371</v>
      </c>
      <c r="D109" s="270">
        <v>45583</v>
      </c>
      <c r="E109" s="271">
        <v>43603</v>
      </c>
      <c r="F109" s="194">
        <v>129557</v>
      </c>
      <c r="G109" s="195">
        <v>1396875.1298225159</v>
      </c>
      <c r="H109" s="831"/>
      <c r="I109" s="278">
        <v>3.7441537749910055E-2</v>
      </c>
      <c r="J109" s="279">
        <v>1.2663008464221448E-2</v>
      </c>
      <c r="K109" s="280">
        <v>-7.9856213313919105E-3</v>
      </c>
      <c r="L109" s="281">
        <v>1.3105934423409238E-2</v>
      </c>
      <c r="M109" s="282">
        <v>1.3868500254362592E-2</v>
      </c>
      <c r="S109" s="50">
        <v>2011</v>
      </c>
      <c r="T109" s="50">
        <v>125232</v>
      </c>
      <c r="U109" s="162">
        <f t="shared" si="30"/>
        <v>-2.2136850242451218E-2</v>
      </c>
      <c r="V109" s="112">
        <v>1502790</v>
      </c>
      <c r="W109" s="162">
        <f t="shared" si="31"/>
        <v>-2.2134854929734181E-2</v>
      </c>
    </row>
    <row r="110" spans="1:23" ht="13.75" thickBot="1" x14ac:dyDescent="0.75">
      <c r="A110" s="829"/>
      <c r="B110" s="277" t="s">
        <v>217</v>
      </c>
      <c r="C110" s="269">
        <v>39019</v>
      </c>
      <c r="D110" s="270">
        <v>46113</v>
      </c>
      <c r="E110" s="271">
        <v>42487</v>
      </c>
      <c r="F110" s="209">
        <v>127619</v>
      </c>
      <c r="G110" s="195">
        <v>1524494.1298225159</v>
      </c>
      <c r="H110" s="831"/>
      <c r="I110" s="294">
        <v>2.563510984644569E-4</v>
      </c>
      <c r="J110" s="295">
        <v>2.8917598232813441E-2</v>
      </c>
      <c r="K110" s="296">
        <v>3.1337993979998056E-2</v>
      </c>
      <c r="L110" s="297">
        <v>2.0772344067444104E-2</v>
      </c>
      <c r="M110" s="298">
        <v>1.4442853699539349E-2</v>
      </c>
      <c r="S110" s="50">
        <v>2012</v>
      </c>
      <c r="T110" s="50">
        <v>127041</v>
      </c>
      <c r="U110" s="162">
        <f t="shared" si="30"/>
        <v>1.4445189727865083E-2</v>
      </c>
      <c r="V110" s="112">
        <v>1524494</v>
      </c>
      <c r="W110" s="162">
        <f t="shared" si="31"/>
        <v>1.4442470338503717E-2</v>
      </c>
    </row>
    <row r="111" spans="1:23" ht="13.75" thickBot="1" x14ac:dyDescent="0.75">
      <c r="A111" s="242" t="s">
        <v>220</v>
      </c>
      <c r="B111" s="243"/>
      <c r="C111" s="212">
        <v>38897.583333333336</v>
      </c>
      <c r="D111" s="212">
        <v>43790.510818542993</v>
      </c>
      <c r="E111" s="212">
        <v>44353.083333333336</v>
      </c>
      <c r="F111" s="213">
        <v>127041.17748520966</v>
      </c>
      <c r="G111" s="213"/>
      <c r="H111" s="832"/>
      <c r="I111" s="244">
        <v>1.6258093823295905E-2</v>
      </c>
      <c r="J111" s="244">
        <v>1.7059506641546429E-2</v>
      </c>
      <c r="K111" s="245">
        <v>1.0293955741495164E-2</v>
      </c>
      <c r="L111" s="246"/>
      <c r="M111" s="245">
        <v>1.4442853699539349E-2</v>
      </c>
      <c r="S111" s="50">
        <v>2013</v>
      </c>
      <c r="T111" s="50">
        <v>130624</v>
      </c>
      <c r="U111" s="162">
        <f t="shared" si="30"/>
        <v>2.8203493360411207E-2</v>
      </c>
      <c r="V111" s="112">
        <v>1567492</v>
      </c>
      <c r="W111" s="162">
        <f t="shared" si="31"/>
        <v>2.8204768270652426E-2</v>
      </c>
    </row>
    <row r="112" spans="1:23" x14ac:dyDescent="0.6">
      <c r="A112" s="835" t="s">
        <v>237</v>
      </c>
      <c r="B112" s="268" t="s">
        <v>191</v>
      </c>
      <c r="C112" s="269">
        <v>38446</v>
      </c>
      <c r="D112" s="270">
        <v>42881</v>
      </c>
      <c r="E112" s="271">
        <v>41350</v>
      </c>
      <c r="F112" s="183">
        <v>122677</v>
      </c>
      <c r="G112" s="184">
        <v>122677</v>
      </c>
      <c r="H112" s="830" t="s">
        <v>238</v>
      </c>
      <c r="I112" s="272">
        <v>4.5978887800631189E-2</v>
      </c>
      <c r="J112" s="273">
        <v>6.5922593154192244E-2</v>
      </c>
      <c r="K112" s="274">
        <v>9.0022406748385395E-2</v>
      </c>
      <c r="L112" s="275">
        <v>6.7499129829446503E-2</v>
      </c>
      <c r="M112" s="276">
        <v>6.7499129829446503E-2</v>
      </c>
      <c r="Q112" s="830" t="s">
        <v>239</v>
      </c>
      <c r="S112" s="50">
        <v>2014</v>
      </c>
      <c r="T112" s="50">
        <v>134529</v>
      </c>
      <c r="U112" s="162">
        <f t="shared" si="30"/>
        <v>2.9894965703086723E-2</v>
      </c>
      <c r="V112" s="112">
        <v>1614346</v>
      </c>
      <c r="W112" s="162">
        <f t="shared" si="31"/>
        <v>2.9891061644971711E-2</v>
      </c>
    </row>
    <row r="113" spans="1:24" x14ac:dyDescent="0.6">
      <c r="A113" s="836"/>
      <c r="B113" s="277" t="s">
        <v>195</v>
      </c>
      <c r="C113" s="269">
        <v>40169</v>
      </c>
      <c r="D113" s="270">
        <v>44492</v>
      </c>
      <c r="E113" s="271">
        <v>43946</v>
      </c>
      <c r="F113" s="194">
        <v>128607</v>
      </c>
      <c r="G113" s="195">
        <v>251284</v>
      </c>
      <c r="H113" s="831"/>
      <c r="I113" s="278">
        <v>6.3383104519490934E-3</v>
      </c>
      <c r="J113" s="279">
        <v>4.340892568185549E-2</v>
      </c>
      <c r="K113" s="280">
        <v>4.3897572331227139E-2</v>
      </c>
      <c r="L113" s="281">
        <v>3.1703501664594347E-2</v>
      </c>
      <c r="M113" s="282">
        <v>4.8874047792966779E-2</v>
      </c>
      <c r="Q113" s="831"/>
      <c r="S113" s="50">
        <v>2015</v>
      </c>
      <c r="T113" s="50">
        <v>140215</v>
      </c>
      <c r="U113" s="162">
        <f t="shared" si="30"/>
        <v>4.226597982591114E-2</v>
      </c>
      <c r="V113" s="112">
        <v>1682585</v>
      </c>
      <c r="W113" s="162">
        <f t="shared" si="31"/>
        <v>4.2270368310139216E-2</v>
      </c>
    </row>
    <row r="114" spans="1:24" x14ac:dyDescent="0.6">
      <c r="A114" s="836"/>
      <c r="B114" s="268" t="s">
        <v>15</v>
      </c>
      <c r="C114" s="269">
        <v>38554</v>
      </c>
      <c r="D114" s="270">
        <v>43020</v>
      </c>
      <c r="E114" s="271">
        <v>43475</v>
      </c>
      <c r="F114" s="194">
        <v>125049</v>
      </c>
      <c r="G114" s="195">
        <v>376333</v>
      </c>
      <c r="H114" s="831"/>
      <c r="I114" s="278">
        <v>-5.5025858476923456E-2</v>
      </c>
      <c r="J114" s="279">
        <v>4.5034579315343156E-3</v>
      </c>
      <c r="K114" s="280">
        <v>7.2750863047658767E-3</v>
      </c>
      <c r="L114" s="281">
        <v>-1.3709039907671028E-2</v>
      </c>
      <c r="M114" s="282">
        <v>2.7215886593721983E-2</v>
      </c>
      <c r="Q114" s="831"/>
      <c r="S114" s="50">
        <v>2016</v>
      </c>
      <c r="T114" s="50">
        <v>150300</v>
      </c>
      <c r="U114" s="162">
        <f t="shared" si="30"/>
        <v>7.1925257640052781E-2</v>
      </c>
      <c r="V114" s="112">
        <v>1803811</v>
      </c>
      <c r="W114" s="162">
        <f t="shared" si="31"/>
        <v>7.2047474570378314E-2</v>
      </c>
    </row>
    <row r="115" spans="1:24" x14ac:dyDescent="0.6">
      <c r="A115" s="836"/>
      <c r="B115" s="277" t="s">
        <v>16</v>
      </c>
      <c r="C115" s="299">
        <v>41025.992454615342</v>
      </c>
      <c r="D115" s="270">
        <v>45251</v>
      </c>
      <c r="E115" s="271">
        <v>45048</v>
      </c>
      <c r="F115" s="194">
        <v>131324.99245461533</v>
      </c>
      <c r="G115" s="195">
        <v>507657.99245461531</v>
      </c>
      <c r="H115" s="831"/>
      <c r="I115" s="278">
        <v>9.9538820074382015E-2</v>
      </c>
      <c r="J115" s="279">
        <v>0.10282218756092805</v>
      </c>
      <c r="K115" s="280">
        <v>5.3261631985036244E-2</v>
      </c>
      <c r="L115" s="281">
        <v>8.4308935834134235E-2</v>
      </c>
      <c r="M115" s="282">
        <v>4.1400719742825887E-2</v>
      </c>
      <c r="Q115" s="831"/>
      <c r="S115" s="50">
        <v>2017</v>
      </c>
      <c r="T115" s="50">
        <v>162347</v>
      </c>
      <c r="U115" s="162">
        <f t="shared" si="30"/>
        <v>8.0153027278775782E-2</v>
      </c>
      <c r="V115" s="112">
        <v>1948165</v>
      </c>
      <c r="W115" s="162">
        <f t="shared" si="31"/>
        <v>8.0027231234314461E-2</v>
      </c>
    </row>
    <row r="116" spans="1:24" x14ac:dyDescent="0.6">
      <c r="A116" s="836"/>
      <c r="B116" s="268" t="s">
        <v>17</v>
      </c>
      <c r="C116" s="299">
        <v>41638.072431964101</v>
      </c>
      <c r="D116" s="270">
        <v>46760</v>
      </c>
      <c r="E116" s="271">
        <v>46681</v>
      </c>
      <c r="F116" s="194">
        <v>135079.0724319641</v>
      </c>
      <c r="G116" s="195">
        <v>642737.06488657941</v>
      </c>
      <c r="H116" s="831"/>
      <c r="I116" s="300">
        <v>5.3275129817972812E-2</v>
      </c>
      <c r="J116" s="279">
        <v>6.0293417382825787E-2</v>
      </c>
      <c r="K116" s="280">
        <v>-2.1977791745233604E-2</v>
      </c>
      <c r="L116" s="281">
        <v>2.8288577696642836E-2</v>
      </c>
      <c r="M116" s="282">
        <v>3.8617362594568716E-2</v>
      </c>
      <c r="Q116" s="831"/>
      <c r="S116" s="50">
        <v>2018</v>
      </c>
      <c r="T116" s="50">
        <v>166900</v>
      </c>
      <c r="U116" s="162">
        <f t="shared" si="30"/>
        <v>2.8044866859258256E-2</v>
      </c>
      <c r="V116" s="112">
        <v>2002797</v>
      </c>
      <c r="W116" s="162">
        <f t="shared" si="31"/>
        <v>2.8042799249550217E-2</v>
      </c>
      <c r="X116" s="162">
        <f>(V117-V115)/V115</f>
        <v>3.9440704457784637E-2</v>
      </c>
    </row>
    <row r="117" spans="1:24" x14ac:dyDescent="0.6">
      <c r="A117" s="836"/>
      <c r="B117" s="277" t="s">
        <v>18</v>
      </c>
      <c r="C117" s="299">
        <v>38222.105951478632</v>
      </c>
      <c r="D117" s="270">
        <v>47287</v>
      </c>
      <c r="E117" s="271">
        <v>47928</v>
      </c>
      <c r="F117" s="194">
        <v>133437.10595147865</v>
      </c>
      <c r="G117" s="195">
        <v>776174.17083805799</v>
      </c>
      <c r="H117" s="831"/>
      <c r="I117" s="300">
        <v>-8.1197365647169579E-3</v>
      </c>
      <c r="J117" s="279">
        <v>4.1770395012227096E-2</v>
      </c>
      <c r="K117" s="280">
        <v>-2.412803127481522E-2</v>
      </c>
      <c r="L117" s="281">
        <v>2.9924003598842397E-3</v>
      </c>
      <c r="M117" s="282">
        <v>3.2313802000434988E-2</v>
      </c>
      <c r="Q117" s="831"/>
      <c r="S117" s="50">
        <v>2019</v>
      </c>
      <c r="T117" s="50">
        <v>168750</v>
      </c>
      <c r="U117" s="162">
        <f t="shared" si="30"/>
        <v>1.1084481725584181E-2</v>
      </c>
      <c r="V117" s="112">
        <v>2025002</v>
      </c>
      <c r="W117" s="162">
        <f>(V117-V116)/V116</f>
        <v>1.1086994837719449E-2</v>
      </c>
    </row>
    <row r="118" spans="1:24" x14ac:dyDescent="0.6">
      <c r="A118" s="836"/>
      <c r="B118" s="268" t="s">
        <v>19</v>
      </c>
      <c r="C118" s="299">
        <v>35270.866740609854</v>
      </c>
      <c r="D118" s="270">
        <v>45276.189877627912</v>
      </c>
      <c r="E118" s="271">
        <v>46438</v>
      </c>
      <c r="F118" s="194">
        <v>126985.05661823777</v>
      </c>
      <c r="G118" s="195">
        <v>903159.22745629575</v>
      </c>
      <c r="H118" s="831"/>
      <c r="I118" s="300">
        <v>7.1922882038280324E-3</v>
      </c>
      <c r="J118" s="279">
        <v>6.2497122418696462E-2</v>
      </c>
      <c r="K118" s="280">
        <v>1.6549187863928901E-2</v>
      </c>
      <c r="L118" s="281">
        <v>2.9769990578829342E-2</v>
      </c>
      <c r="M118" s="282">
        <v>3.195538063105241E-2</v>
      </c>
      <c r="Q118" s="831"/>
    </row>
    <row r="119" spans="1:24" x14ac:dyDescent="0.6">
      <c r="A119" s="836"/>
      <c r="B119" s="277" t="s">
        <v>20</v>
      </c>
      <c r="C119" s="299">
        <v>40374.267105126455</v>
      </c>
      <c r="D119" s="270">
        <v>46420.427353601655</v>
      </c>
      <c r="E119" s="271">
        <v>47179</v>
      </c>
      <c r="F119" s="194">
        <v>133973.6944587281</v>
      </c>
      <c r="G119" s="195">
        <v>1037132.9219150238</v>
      </c>
      <c r="H119" s="831"/>
      <c r="I119" s="300">
        <v>6.024861095395103E-2</v>
      </c>
      <c r="J119" s="279">
        <v>4.3601253425095104E-2</v>
      </c>
      <c r="K119" s="301">
        <v>1.3098842577680431E-2</v>
      </c>
      <c r="L119" s="302">
        <v>3.7510218064958689E-2</v>
      </c>
      <c r="M119" s="303">
        <v>3.266958988378188E-2</v>
      </c>
      <c r="Q119" s="831"/>
    </row>
    <row r="120" spans="1:24" x14ac:dyDescent="0.6">
      <c r="A120" s="836"/>
      <c r="B120" s="268" t="s">
        <v>211</v>
      </c>
      <c r="C120" s="299">
        <v>42472.023969770264</v>
      </c>
      <c r="D120" s="270">
        <v>43342</v>
      </c>
      <c r="E120" s="271">
        <v>46766</v>
      </c>
      <c r="F120" s="194">
        <v>132580.02396977026</v>
      </c>
      <c r="G120" s="195">
        <v>1169712.945884794</v>
      </c>
      <c r="H120" s="831"/>
      <c r="I120" s="300">
        <v>4.8847334661190886E-2</v>
      </c>
      <c r="J120" s="279">
        <v>-4.1233464584347214E-2</v>
      </c>
      <c r="K120" s="280">
        <v>1.7536988685813749E-2</v>
      </c>
      <c r="L120" s="281">
        <v>6.9878776376293139E-3</v>
      </c>
      <c r="M120" s="282">
        <v>2.9693086868847196E-2</v>
      </c>
      <c r="Q120" s="831"/>
    </row>
    <row r="121" spans="1:24" x14ac:dyDescent="0.6">
      <c r="A121" s="836"/>
      <c r="B121" s="277" t="s">
        <v>213</v>
      </c>
      <c r="C121" s="299">
        <v>41749.008322299123</v>
      </c>
      <c r="D121" s="270">
        <v>47052</v>
      </c>
      <c r="E121" s="271">
        <v>46704</v>
      </c>
      <c r="F121" s="194">
        <v>135505.00832229911</v>
      </c>
      <c r="G121" s="195">
        <v>1305217.954207093</v>
      </c>
      <c r="H121" s="831"/>
      <c r="I121" s="300">
        <v>1.9810648353586483E-2</v>
      </c>
      <c r="J121" s="279">
        <v>3.9386776822991451E-2</v>
      </c>
      <c r="K121" s="280">
        <v>3.4899953466728709E-2</v>
      </c>
      <c r="L121" s="281">
        <v>3.1743073660680299E-2</v>
      </c>
      <c r="M121" s="282">
        <v>2.9905533182804644E-2</v>
      </c>
      <c r="Q121" s="831"/>
    </row>
    <row r="122" spans="1:24" x14ac:dyDescent="0.6">
      <c r="A122" s="836"/>
      <c r="B122" s="268" t="s">
        <v>216</v>
      </c>
      <c r="C122" s="299">
        <v>40370.91955089409</v>
      </c>
      <c r="D122" s="270">
        <v>46729</v>
      </c>
      <c r="E122" s="271">
        <v>44895</v>
      </c>
      <c r="F122" s="194">
        <v>131994.91955089409</v>
      </c>
      <c r="G122" s="195">
        <v>1437212.8737579871</v>
      </c>
      <c r="H122" s="831"/>
      <c r="I122" s="300">
        <v>-1.9927449384407796E-6</v>
      </c>
      <c r="J122" s="279">
        <v>2.5140951670578945E-2</v>
      </c>
      <c r="K122" s="280">
        <v>2.9630988693438526E-2</v>
      </c>
      <c r="L122" s="281">
        <v>1.8817351057017984E-2</v>
      </c>
      <c r="M122" s="282">
        <v>2.8877129440049831E-2</v>
      </c>
      <c r="Q122" s="831"/>
      <c r="S122" s="162">
        <f>(V117-V110)/V110</f>
        <v>0.32831090184677669</v>
      </c>
    </row>
    <row r="123" spans="1:24" ht="13.75" thickBot="1" x14ac:dyDescent="0.75">
      <c r="A123" s="837"/>
      <c r="B123" s="277" t="s">
        <v>217</v>
      </c>
      <c r="C123" s="299">
        <v>40251.689862017127</v>
      </c>
      <c r="D123" s="270">
        <v>47091</v>
      </c>
      <c r="E123" s="271">
        <v>42936</v>
      </c>
      <c r="F123" s="209">
        <v>130278.68986201713</v>
      </c>
      <c r="G123" s="195">
        <v>1567491.5636200041</v>
      </c>
      <c r="H123" s="831"/>
      <c r="I123" s="300">
        <v>3.1592041364902401E-2</v>
      </c>
      <c r="J123" s="279">
        <v>2.1208769761238696E-2</v>
      </c>
      <c r="K123" s="296">
        <v>1.0567938428225104E-2</v>
      </c>
      <c r="L123" s="297">
        <v>2.0840861172843672E-2</v>
      </c>
      <c r="M123" s="298">
        <v>2.8204394465260352E-2</v>
      </c>
      <c r="Q123" s="831"/>
    </row>
    <row r="124" spans="1:24" ht="13.75" thickBot="1" x14ac:dyDescent="0.75">
      <c r="A124" s="242" t="s">
        <v>220</v>
      </c>
      <c r="B124" s="243"/>
      <c r="C124" s="212">
        <v>39878.66219906458</v>
      </c>
      <c r="D124" s="212">
        <v>45466.801435935799</v>
      </c>
      <c r="E124" s="212">
        <v>45278.833333333336</v>
      </c>
      <c r="F124" s="213">
        <v>130624.29696833367</v>
      </c>
      <c r="G124" s="213"/>
      <c r="H124" s="832"/>
      <c r="I124" s="304">
        <v>2.5222103319989753E-2</v>
      </c>
      <c r="J124" s="304">
        <v>3.8279768517406332E-2</v>
      </c>
      <c r="K124" s="245">
        <v>2.087228058177093E-2</v>
      </c>
      <c r="L124" s="246"/>
      <c r="M124" s="245">
        <v>2.8204394465260352E-2</v>
      </c>
      <c r="Q124" s="832"/>
    </row>
    <row r="125" spans="1:24" x14ac:dyDescent="0.6">
      <c r="A125" s="828">
        <v>2014</v>
      </c>
      <c r="B125" s="268" t="s">
        <v>191</v>
      </c>
      <c r="C125" s="305">
        <v>39107.855064252552</v>
      </c>
      <c r="D125" s="306">
        <v>45437</v>
      </c>
      <c r="E125" s="307">
        <v>43038</v>
      </c>
      <c r="F125" s="308">
        <v>127582.85506425255</v>
      </c>
      <c r="G125" s="309">
        <v>127582.85506425255</v>
      </c>
      <c r="H125" s="830" t="s">
        <v>240</v>
      </c>
      <c r="I125" s="310">
        <v>1.7215186605955144E-2</v>
      </c>
      <c r="J125" s="311">
        <v>5.9606818870828575E-2</v>
      </c>
      <c r="K125" s="312">
        <v>4.0822249093107617E-2</v>
      </c>
      <c r="L125" s="313">
        <v>3.9990014951886366E-2</v>
      </c>
      <c r="M125" s="314">
        <v>3.9990014951886366E-2</v>
      </c>
    </row>
    <row r="126" spans="1:24" x14ac:dyDescent="0.6">
      <c r="A126" s="828"/>
      <c r="B126" s="277" t="s">
        <v>195</v>
      </c>
      <c r="C126" s="305">
        <v>40949</v>
      </c>
      <c r="D126" s="306">
        <v>46627</v>
      </c>
      <c r="E126" s="307">
        <v>45744</v>
      </c>
      <c r="F126" s="315">
        <v>133320</v>
      </c>
      <c r="G126" s="316">
        <v>260902.85506425257</v>
      </c>
      <c r="H126" s="831"/>
      <c r="I126" s="317">
        <v>1.9417959122706566E-2</v>
      </c>
      <c r="J126" s="318">
        <v>4.7986154814348647E-2</v>
      </c>
      <c r="K126" s="319">
        <v>4.0913848814454104E-2</v>
      </c>
      <c r="L126" s="320">
        <v>3.6646527793976924E-2</v>
      </c>
      <c r="M126" s="321">
        <v>3.8278820236276712E-2</v>
      </c>
    </row>
    <row r="127" spans="1:24" x14ac:dyDescent="0.6">
      <c r="A127" s="828"/>
      <c r="B127" s="268" t="s">
        <v>15</v>
      </c>
      <c r="C127" s="305">
        <v>40977</v>
      </c>
      <c r="D127" s="306">
        <v>46559</v>
      </c>
      <c r="E127" s="307">
        <v>45640</v>
      </c>
      <c r="F127" s="315">
        <v>133176</v>
      </c>
      <c r="G127" s="316">
        <v>394078.85506425257</v>
      </c>
      <c r="H127" s="831"/>
      <c r="I127" s="317">
        <v>6.2846916013902576E-2</v>
      </c>
      <c r="J127" s="318">
        <v>8.2264063226406323E-2</v>
      </c>
      <c r="K127" s="319">
        <v>4.9798734905117881E-2</v>
      </c>
      <c r="L127" s="320">
        <v>6.4990523714703929E-2</v>
      </c>
      <c r="M127" s="321">
        <v>4.7154661069458648E-2</v>
      </c>
    </row>
    <row r="128" spans="1:24" x14ac:dyDescent="0.6">
      <c r="A128" s="828"/>
      <c r="B128" s="277" t="s">
        <v>16</v>
      </c>
      <c r="C128" s="305">
        <v>39242</v>
      </c>
      <c r="D128" s="306">
        <v>46152</v>
      </c>
      <c r="E128" s="307">
        <v>45797</v>
      </c>
      <c r="F128" s="315">
        <v>131191</v>
      </c>
      <c r="G128" s="316">
        <v>525269.85506425262</v>
      </c>
      <c r="H128" s="831"/>
      <c r="I128" s="317">
        <v>-4.3484443589972097E-2</v>
      </c>
      <c r="J128" s="318">
        <v>1.991116218426112E-2</v>
      </c>
      <c r="K128" s="319">
        <v>1.6626709287870717E-2</v>
      </c>
      <c r="L128" s="320">
        <v>-1.0203119155832718E-3</v>
      </c>
      <c r="M128" s="321">
        <v>3.469237729220187E-2</v>
      </c>
    </row>
    <row r="129" spans="1:13" x14ac:dyDescent="0.6">
      <c r="A129" s="828"/>
      <c r="B129" s="268" t="s">
        <v>17</v>
      </c>
      <c r="C129" s="305">
        <v>41187</v>
      </c>
      <c r="D129" s="306">
        <v>49731</v>
      </c>
      <c r="E129" s="307">
        <v>49186</v>
      </c>
      <c r="F129" s="315">
        <v>140104</v>
      </c>
      <c r="G129" s="316">
        <v>665373.85506425262</v>
      </c>
      <c r="H129" s="831"/>
      <c r="I129" s="317">
        <v>-1.0833172757964383E-2</v>
      </c>
      <c r="J129" s="318">
        <v>6.3537211291702311E-2</v>
      </c>
      <c r="K129" s="319">
        <v>5.3662089501081811E-2</v>
      </c>
      <c r="L129" s="320">
        <v>3.7199896901622731E-2</v>
      </c>
      <c r="M129" s="321">
        <v>3.5219363273639503E-2</v>
      </c>
    </row>
    <row r="130" spans="1:13" x14ac:dyDescent="0.6">
      <c r="A130" s="828"/>
      <c r="B130" s="277" t="s">
        <v>18</v>
      </c>
      <c r="C130" s="305">
        <v>38352</v>
      </c>
      <c r="D130" s="306">
        <v>48225</v>
      </c>
      <c r="E130" s="307">
        <v>49375</v>
      </c>
      <c r="F130" s="315">
        <v>135952</v>
      </c>
      <c r="G130" s="316">
        <v>801325.85506425262</v>
      </c>
      <c r="H130" s="831"/>
      <c r="I130" s="317">
        <v>3.3984011421626797E-3</v>
      </c>
      <c r="J130" s="318">
        <v>1.9836318649946075E-2</v>
      </c>
      <c r="K130" s="319">
        <v>3.0191120013353362E-2</v>
      </c>
      <c r="L130" s="320">
        <v>1.8847036816249885E-2</v>
      </c>
      <c r="M130" s="321">
        <v>3.2404691074733316E-2</v>
      </c>
    </row>
    <row r="131" spans="1:13" x14ac:dyDescent="0.6">
      <c r="A131" s="828"/>
      <c r="B131" s="268" t="s">
        <v>19</v>
      </c>
      <c r="C131" s="305">
        <v>36809</v>
      </c>
      <c r="D131" s="306">
        <v>46148.967300339005</v>
      </c>
      <c r="E131" s="307">
        <v>47953</v>
      </c>
      <c r="F131" s="315">
        <v>130910.96730033901</v>
      </c>
      <c r="G131" s="316">
        <v>932236.82236459164</v>
      </c>
      <c r="H131" s="831"/>
      <c r="I131" s="317">
        <v>4.3609171010792994E-2</v>
      </c>
      <c r="J131" s="318">
        <v>1.9276741816615494E-2</v>
      </c>
      <c r="K131" s="319">
        <v>3.2624144019983634E-2</v>
      </c>
      <c r="L131" s="320">
        <v>3.0916320287228238E-2</v>
      </c>
      <c r="M131" s="321">
        <v>3.2195424709540399E-2</v>
      </c>
    </row>
    <row r="132" spans="1:13" x14ac:dyDescent="0.6">
      <c r="A132" s="828"/>
      <c r="B132" s="277" t="s">
        <v>20</v>
      </c>
      <c r="C132" s="305">
        <v>38081</v>
      </c>
      <c r="D132" s="306">
        <v>47806</v>
      </c>
      <c r="E132" s="307">
        <v>49296</v>
      </c>
      <c r="F132" s="315">
        <v>135183</v>
      </c>
      <c r="G132" s="316">
        <v>1067419.8223645915</v>
      </c>
      <c r="H132" s="831"/>
      <c r="I132" s="317">
        <v>-5.6800216314893091E-2</v>
      </c>
      <c r="J132" s="318">
        <v>2.9848338875554131E-2</v>
      </c>
      <c r="K132" s="319">
        <v>4.4871659000826639E-2</v>
      </c>
      <c r="L132" s="320">
        <v>9.0264401990081122E-3</v>
      </c>
      <c r="M132" s="321">
        <v>2.9202525355809028E-2</v>
      </c>
    </row>
    <row r="133" spans="1:13" x14ac:dyDescent="0.6">
      <c r="A133" s="828"/>
      <c r="B133" s="268" t="s">
        <v>211</v>
      </c>
      <c r="C133" s="305">
        <v>42177</v>
      </c>
      <c r="D133" s="306">
        <v>49515.339905179106</v>
      </c>
      <c r="E133" s="307">
        <v>48477</v>
      </c>
      <c r="F133" s="315">
        <v>140169.33990517911</v>
      </c>
      <c r="G133" s="316">
        <v>1207589.1622697706</v>
      </c>
      <c r="H133" s="831"/>
      <c r="I133" s="322">
        <v>-6.94631294190851E-3</v>
      </c>
      <c r="J133" s="318">
        <v>0.14243320347882205</v>
      </c>
      <c r="K133" s="319">
        <v>3.6586408929564211E-2</v>
      </c>
      <c r="L133" s="320">
        <v>5.724328377809984E-2</v>
      </c>
      <c r="M133" s="321">
        <v>3.2380778992170844E-2</v>
      </c>
    </row>
    <row r="134" spans="1:13" x14ac:dyDescent="0.6">
      <c r="A134" s="828"/>
      <c r="B134" s="277" t="s">
        <v>213</v>
      </c>
      <c r="C134" s="305">
        <v>42413</v>
      </c>
      <c r="D134" s="306">
        <v>49716</v>
      </c>
      <c r="E134" s="307">
        <v>48109</v>
      </c>
      <c r="F134" s="315">
        <v>140238</v>
      </c>
      <c r="G134" s="316">
        <v>1347827.1622697706</v>
      </c>
      <c r="H134" s="831"/>
      <c r="I134" s="322">
        <v>1.5904370052934241E-2</v>
      </c>
      <c r="J134" s="318">
        <v>5.6618209640397855E-2</v>
      </c>
      <c r="K134" s="319">
        <v>3.0083076396026035E-2</v>
      </c>
      <c r="L134" s="320">
        <v>3.4928536858530368E-2</v>
      </c>
      <c r="M134" s="321">
        <v>3.264528190509175E-2</v>
      </c>
    </row>
    <row r="135" spans="1:13" x14ac:dyDescent="0.6">
      <c r="A135" s="828"/>
      <c r="B135" s="268" t="s">
        <v>216</v>
      </c>
      <c r="C135" s="305">
        <v>41325</v>
      </c>
      <c r="D135" s="306">
        <v>47521</v>
      </c>
      <c r="E135" s="307">
        <v>46984</v>
      </c>
      <c r="F135" s="315">
        <v>135830</v>
      </c>
      <c r="G135" s="316">
        <v>1483657.1622697706</v>
      </c>
      <c r="H135" s="831"/>
      <c r="I135" s="322">
        <v>2.3632863945621467E-2</v>
      </c>
      <c r="J135" s="318">
        <v>1.6948789830726101E-2</v>
      </c>
      <c r="K135" s="319">
        <v>4.6530794075064039E-2</v>
      </c>
      <c r="L135" s="320">
        <v>2.9054758032768024E-2</v>
      </c>
      <c r="M135" s="321">
        <v>3.23155249718452E-2</v>
      </c>
    </row>
    <row r="136" spans="1:13" ht="13.75" thickBot="1" x14ac:dyDescent="0.75">
      <c r="A136" s="829"/>
      <c r="B136" s="277" t="s">
        <v>217</v>
      </c>
      <c r="C136" s="305">
        <v>39046</v>
      </c>
      <c r="D136" s="306">
        <v>48042</v>
      </c>
      <c r="E136" s="307">
        <v>43601</v>
      </c>
      <c r="F136" s="315">
        <v>130689</v>
      </c>
      <c r="G136" s="316">
        <v>1614346.1622697706</v>
      </c>
      <c r="H136" s="831"/>
      <c r="I136" s="323">
        <v>-2.9953770044195267E-2</v>
      </c>
      <c r="J136" s="324">
        <v>2.019494170860674E-2</v>
      </c>
      <c r="K136" s="325">
        <v>1.548816843674306E-2</v>
      </c>
      <c r="L136" s="326">
        <v>3.1494800755016428E-3</v>
      </c>
      <c r="M136" s="327">
        <v>2.9891451882241293E-2</v>
      </c>
    </row>
    <row r="137" spans="1:13" ht="13.75" thickBot="1" x14ac:dyDescent="0.75">
      <c r="A137" s="242" t="s">
        <v>220</v>
      </c>
      <c r="B137" s="243"/>
      <c r="C137" s="328">
        <v>39972.154588687714</v>
      </c>
      <c r="D137" s="328">
        <v>47623.358933793177</v>
      </c>
      <c r="E137" s="328">
        <v>46933.333333333336</v>
      </c>
      <c r="F137" s="329">
        <v>134528.84685581422</v>
      </c>
      <c r="G137" s="329"/>
      <c r="H137" s="832"/>
      <c r="I137" s="330">
        <v>2.3444214140495578E-3</v>
      </c>
      <c r="J137" s="330">
        <v>4.7431475928563893E-2</v>
      </c>
      <c r="K137" s="331">
        <v>3.6540252435832699E-2</v>
      </c>
      <c r="L137" s="332"/>
      <c r="M137" s="333">
        <v>2.9891451882241293E-2</v>
      </c>
    </row>
    <row r="138" spans="1:13" x14ac:dyDescent="0.6">
      <c r="A138" s="828">
        <v>2015</v>
      </c>
      <c r="B138" s="268" t="s">
        <v>191</v>
      </c>
      <c r="C138" s="305">
        <v>38668.516129032258</v>
      </c>
      <c r="D138" s="306">
        <v>46015.741935483871</v>
      </c>
      <c r="E138" s="307">
        <v>43100.096774193546</v>
      </c>
      <c r="F138" s="308">
        <v>127784.35483870967</v>
      </c>
      <c r="G138" s="309">
        <v>127784.35483870967</v>
      </c>
      <c r="H138" s="830" t="s">
        <v>241</v>
      </c>
      <c r="I138" s="310">
        <v>-1.1234033022227341E-2</v>
      </c>
      <c r="J138" s="311">
        <v>1.2737239154958981E-2</v>
      </c>
      <c r="K138" s="312">
        <v>1.4428359634171097E-3</v>
      </c>
      <c r="L138" s="313">
        <v>1.5793640482151261E-3</v>
      </c>
      <c r="M138" s="314">
        <v>1.5793640482151261E-3</v>
      </c>
    </row>
    <row r="139" spans="1:13" x14ac:dyDescent="0.6">
      <c r="A139" s="828"/>
      <c r="B139" s="277" t="s">
        <v>195</v>
      </c>
      <c r="C139" s="305">
        <v>40262.571428571428</v>
      </c>
      <c r="D139" s="306">
        <v>47010.821428571428</v>
      </c>
      <c r="E139" s="307">
        <v>44966.642857142855</v>
      </c>
      <c r="F139" s="315">
        <v>132240.03571428571</v>
      </c>
      <c r="G139" s="316">
        <v>260024.39055299538</v>
      </c>
      <c r="H139" s="831"/>
      <c r="I139" s="317">
        <v>-1.676301183004646E-2</v>
      </c>
      <c r="J139" s="318">
        <v>8.2317418785559336E-3</v>
      </c>
      <c r="K139" s="319">
        <v>-1.6993641632938636E-2</v>
      </c>
      <c r="L139" s="320">
        <v>-8.1005421970768987E-3</v>
      </c>
      <c r="M139" s="321">
        <v>-3.367017624398394E-3</v>
      </c>
    </row>
    <row r="140" spans="1:13" x14ac:dyDescent="0.6">
      <c r="A140" s="828"/>
      <c r="B140" s="268" t="s">
        <v>15</v>
      </c>
      <c r="C140" s="305">
        <v>41761.709677419356</v>
      </c>
      <c r="D140" s="306">
        <v>48792.290322580644</v>
      </c>
      <c r="E140" s="307">
        <v>46990.354838709674</v>
      </c>
      <c r="F140" s="315">
        <v>137544.35483870967</v>
      </c>
      <c r="G140" s="316">
        <v>397568.74539170507</v>
      </c>
      <c r="H140" s="831"/>
      <c r="I140" s="317">
        <v>1.9150003109533544E-2</v>
      </c>
      <c r="J140" s="318">
        <v>4.7966887660401726E-2</v>
      </c>
      <c r="K140" s="319">
        <v>2.9587091119843874E-2</v>
      </c>
      <c r="L140" s="320">
        <v>3.2801366903268292E-2</v>
      </c>
      <c r="M140" s="321">
        <v>8.8558172624702003E-3</v>
      </c>
    </row>
    <row r="141" spans="1:13" x14ac:dyDescent="0.6">
      <c r="A141" s="828"/>
      <c r="B141" s="277" t="s">
        <v>16</v>
      </c>
      <c r="C141" s="305">
        <v>39675.333333333336</v>
      </c>
      <c r="D141" s="306">
        <v>48000.333333333336</v>
      </c>
      <c r="E141" s="307">
        <v>47362.8</v>
      </c>
      <c r="F141" s="315">
        <v>135038.46666666667</v>
      </c>
      <c r="G141" s="316">
        <v>532607.21205837175</v>
      </c>
      <c r="H141" s="831"/>
      <c r="I141" s="317">
        <v>1.1042590421827016E-2</v>
      </c>
      <c r="J141" s="318">
        <v>4.0048824175189283E-2</v>
      </c>
      <c r="K141" s="319">
        <v>3.4190012446230163E-2</v>
      </c>
      <c r="L141" s="320">
        <v>2.9327215027453724E-2</v>
      </c>
      <c r="M141" s="321">
        <v>1.3968738017950066E-2</v>
      </c>
    </row>
    <row r="142" spans="1:13" x14ac:dyDescent="0.6">
      <c r="A142" s="828"/>
      <c r="B142" s="268" t="s">
        <v>17</v>
      </c>
      <c r="C142" s="305">
        <v>41099.93548387097</v>
      </c>
      <c r="D142" s="306">
        <v>51095.451612903227</v>
      </c>
      <c r="E142" s="307">
        <v>50494.870967741932</v>
      </c>
      <c r="F142" s="315">
        <v>142690.25806451612</v>
      </c>
      <c r="G142" s="316">
        <v>675297.47012288787</v>
      </c>
      <c r="H142" s="831"/>
      <c r="I142" s="317">
        <v>-2.1138834129465702E-3</v>
      </c>
      <c r="J142" s="318">
        <v>2.7436641388735944E-2</v>
      </c>
      <c r="K142" s="319">
        <v>2.6610640583538649E-2</v>
      </c>
      <c r="L142" s="320">
        <v>1.8459559074088583E-2</v>
      </c>
      <c r="M142" s="321">
        <v>1.4914344744845653E-2</v>
      </c>
    </row>
    <row r="143" spans="1:13" x14ac:dyDescent="0.6">
      <c r="A143" s="828"/>
      <c r="B143" s="277" t="s">
        <v>18</v>
      </c>
      <c r="C143" s="305">
        <v>41135.533333333333</v>
      </c>
      <c r="D143" s="306">
        <v>53010.863414897707</v>
      </c>
      <c r="E143" s="307">
        <v>52500.934550667378</v>
      </c>
      <c r="F143" s="315">
        <v>146647.33129889841</v>
      </c>
      <c r="G143" s="316">
        <v>821944.80142178631</v>
      </c>
      <c r="H143" s="831"/>
      <c r="I143" s="317">
        <v>7.257857043526629E-2</v>
      </c>
      <c r="J143" s="318">
        <v>9.9240298909231875E-2</v>
      </c>
      <c r="K143" s="319">
        <v>6.3310066848959554E-2</v>
      </c>
      <c r="L143" s="320">
        <v>7.8669907753460055E-2</v>
      </c>
      <c r="M143" s="321">
        <v>2.5731038412432516E-2</v>
      </c>
    </row>
    <row r="144" spans="1:13" x14ac:dyDescent="0.6">
      <c r="A144" s="828"/>
      <c r="B144" s="268" t="s">
        <v>19</v>
      </c>
      <c r="C144" s="305">
        <v>38286.548387096773</v>
      </c>
      <c r="D144" s="306">
        <v>50696.967741935485</v>
      </c>
      <c r="E144" s="307">
        <v>51577.40376508185</v>
      </c>
      <c r="F144" s="315">
        <v>140560.91989411411</v>
      </c>
      <c r="G144" s="316">
        <v>962505.72131590045</v>
      </c>
      <c r="H144" s="831"/>
      <c r="I144" s="317">
        <v>4.0140954307282803E-2</v>
      </c>
      <c r="J144" s="318">
        <v>9.8550427185031944E-2</v>
      </c>
      <c r="K144" s="319">
        <v>7.5582419558356095E-2</v>
      </c>
      <c r="L144" s="320">
        <v>7.3713859066032006E-2</v>
      </c>
      <c r="M144" s="321">
        <v>3.2469108948660397E-2</v>
      </c>
    </row>
    <row r="145" spans="1:13" x14ac:dyDescent="0.6">
      <c r="A145" s="828"/>
      <c r="B145" s="277" t="s">
        <v>20</v>
      </c>
      <c r="C145" s="305">
        <v>40881.516129032258</v>
      </c>
      <c r="D145" s="306">
        <v>50425.161290322583</v>
      </c>
      <c r="E145" s="307">
        <v>53185.600009105947</v>
      </c>
      <c r="F145" s="315">
        <v>144492.2774284608</v>
      </c>
      <c r="G145" s="316">
        <v>1106997.9987443613</v>
      </c>
      <c r="H145" s="831"/>
      <c r="I145" s="317">
        <v>7.3541034348684586E-2</v>
      </c>
      <c r="J145" s="318">
        <v>5.4787292187645553E-2</v>
      </c>
      <c r="K145" s="319">
        <v>7.8902953771217685E-2</v>
      </c>
      <c r="L145" s="320">
        <v>6.886426124927536E-2</v>
      </c>
      <c r="M145" s="321">
        <v>3.707835993910491E-2</v>
      </c>
    </row>
    <row r="146" spans="1:13" x14ac:dyDescent="0.6">
      <c r="A146" s="828"/>
      <c r="B146" s="268" t="s">
        <v>211</v>
      </c>
      <c r="C146" s="305">
        <v>43724.866666666669</v>
      </c>
      <c r="D146" s="306">
        <v>52659.4</v>
      </c>
      <c r="E146" s="307">
        <v>52589.383127120971</v>
      </c>
      <c r="F146" s="315">
        <v>148973.64979378763</v>
      </c>
      <c r="G146" s="316">
        <v>1255971.648538149</v>
      </c>
      <c r="H146" s="831"/>
      <c r="I146" s="317">
        <v>3.6699306889220872E-2</v>
      </c>
      <c r="J146" s="318">
        <v>6.3496688114061395E-2</v>
      </c>
      <c r="K146" s="319">
        <v>8.4831634117642815E-2</v>
      </c>
      <c r="L146" s="320">
        <v>6.2811952275471983E-2</v>
      </c>
      <c r="M146" s="321">
        <v>4.0065353168157847E-2</v>
      </c>
    </row>
    <row r="147" spans="1:13" x14ac:dyDescent="0.6">
      <c r="A147" s="828"/>
      <c r="B147" s="277" t="s">
        <v>213</v>
      </c>
      <c r="C147" s="305">
        <v>43263.032258064515</v>
      </c>
      <c r="D147" s="306">
        <v>52673.774193548386</v>
      </c>
      <c r="E147" s="307">
        <v>50751.051533165461</v>
      </c>
      <c r="F147" s="315">
        <v>146687.85798477835</v>
      </c>
      <c r="G147" s="316">
        <v>1402659.5065229274</v>
      </c>
      <c r="H147" s="831"/>
      <c r="I147" s="317">
        <v>2.0041785727595671E-2</v>
      </c>
      <c r="J147" s="318">
        <v>5.9493406419430094E-2</v>
      </c>
      <c r="K147" s="319">
        <v>5.4918030579838711E-2</v>
      </c>
      <c r="L147" s="320">
        <v>4.5992227390424523E-2</v>
      </c>
      <c r="M147" s="321">
        <v>4.0682029408591225E-2</v>
      </c>
    </row>
    <row r="148" spans="1:13" x14ac:dyDescent="0.6">
      <c r="A148" s="828"/>
      <c r="B148" s="268" t="s">
        <v>216</v>
      </c>
      <c r="C148" s="305">
        <v>42575.933333333334</v>
      </c>
      <c r="D148" s="306">
        <v>51610.7</v>
      </c>
      <c r="E148" s="307">
        <v>49168.533333333333</v>
      </c>
      <c r="F148" s="315">
        <v>143355.16666666666</v>
      </c>
      <c r="G148" s="316">
        <v>1546014.6731895942</v>
      </c>
      <c r="H148" s="831"/>
      <c r="I148" s="317">
        <v>3.0270619076426721E-2</v>
      </c>
      <c r="J148" s="318">
        <v>8.6060899391847759E-2</v>
      </c>
      <c r="K148" s="319">
        <v>4.6495260798002147E-2</v>
      </c>
      <c r="L148" s="320">
        <v>5.5401359542565309E-2</v>
      </c>
      <c r="M148" s="321">
        <v>4.2029595856515778E-2</v>
      </c>
    </row>
    <row r="149" spans="1:13" ht="13.75" thickBot="1" x14ac:dyDescent="0.75">
      <c r="A149" s="829"/>
      <c r="B149" s="277" t="s">
        <v>217</v>
      </c>
      <c r="C149" s="305">
        <v>40145.193548387098</v>
      </c>
      <c r="D149" s="306">
        <v>50708.06451612903</v>
      </c>
      <c r="E149" s="307">
        <v>45716.645161290326</v>
      </c>
      <c r="F149" s="315">
        <v>136569.90322580645</v>
      </c>
      <c r="G149" s="316">
        <v>1682584.5764154007</v>
      </c>
      <c r="H149" s="831"/>
      <c r="I149" s="334">
        <v>2.8151245924988435E-2</v>
      </c>
      <c r="J149" s="324">
        <v>5.5494453106220192E-2</v>
      </c>
      <c r="K149" s="325">
        <v>4.8522858679624907E-2</v>
      </c>
      <c r="L149" s="326">
        <v>4.4999221248968491E-2</v>
      </c>
      <c r="M149" s="327">
        <v>4.227000115618762E-2</v>
      </c>
    </row>
    <row r="150" spans="1:13" ht="16.25" thickBot="1" x14ac:dyDescent="0.75">
      <c r="A150" s="833" t="s">
        <v>242</v>
      </c>
      <c r="B150" s="834"/>
      <c r="C150" s="212">
        <v>40955</v>
      </c>
      <c r="D150" s="212">
        <v>50225</v>
      </c>
      <c r="E150" s="212">
        <v>49035</v>
      </c>
      <c r="F150" s="212">
        <v>140215</v>
      </c>
      <c r="G150" s="335"/>
      <c r="H150" s="832"/>
      <c r="I150" s="244">
        <v>2.4588252032589519E-2</v>
      </c>
      <c r="J150" s="244">
        <v>5.4629516364514963E-2</v>
      </c>
      <c r="K150" s="245">
        <v>4.4779829545454453E-2</v>
      </c>
      <c r="L150" s="246"/>
      <c r="M150" s="245">
        <v>4.227000115618762E-2</v>
      </c>
    </row>
    <row r="151" spans="1:13" x14ac:dyDescent="0.6">
      <c r="A151" s="828">
        <v>2016</v>
      </c>
      <c r="B151" s="268" t="s">
        <v>191</v>
      </c>
      <c r="C151" s="305">
        <v>39607.741935483871</v>
      </c>
      <c r="D151" s="306">
        <v>48576.645161290326</v>
      </c>
      <c r="E151" s="307">
        <v>45722.870967741932</v>
      </c>
      <c r="F151" s="308">
        <v>133907.25806451612</v>
      </c>
      <c r="G151" s="309">
        <v>133907.25806451612</v>
      </c>
      <c r="H151" s="830" t="s">
        <v>243</v>
      </c>
      <c r="I151" s="310">
        <v>2.4289160807658829E-2</v>
      </c>
      <c r="J151" s="311">
        <v>5.5652763991004543E-2</v>
      </c>
      <c r="K151" s="312">
        <v>6.0853092912746987E-2</v>
      </c>
      <c r="L151" s="313">
        <v>4.7915906712796108E-2</v>
      </c>
      <c r="M151" s="314">
        <v>4.7915906712796108E-2</v>
      </c>
    </row>
    <row r="152" spans="1:13" x14ac:dyDescent="0.6">
      <c r="A152" s="828"/>
      <c r="B152" s="277" t="s">
        <v>195</v>
      </c>
      <c r="C152" s="305">
        <v>42175</v>
      </c>
      <c r="D152" s="306">
        <v>50786.758620689652</v>
      </c>
      <c r="E152" s="307">
        <v>48931.65517241379</v>
      </c>
      <c r="F152" s="315">
        <v>141893.41379310345</v>
      </c>
      <c r="G152" s="316">
        <v>275800.67185761954</v>
      </c>
      <c r="H152" s="831"/>
      <c r="I152" s="317">
        <v>4.7498917818037341E-2</v>
      </c>
      <c r="J152" s="318">
        <v>8.032059592609779E-2</v>
      </c>
      <c r="K152" s="319">
        <v>8.8176747547456746E-2</v>
      </c>
      <c r="L152" s="320">
        <v>7.2998907075876529E-2</v>
      </c>
      <c r="M152" s="321">
        <v>6.0672313359037888E-2</v>
      </c>
    </row>
    <row r="153" spans="1:13" x14ac:dyDescent="0.6">
      <c r="A153" s="828"/>
      <c r="B153" s="268" t="s">
        <v>15</v>
      </c>
      <c r="C153" s="305">
        <v>41617.387096774197</v>
      </c>
      <c r="D153" s="306">
        <v>50753.290322580644</v>
      </c>
      <c r="E153" s="307">
        <v>49804.483870967742</v>
      </c>
      <c r="F153" s="315">
        <v>142175.16129032261</v>
      </c>
      <c r="G153" s="316">
        <v>417975.83314794215</v>
      </c>
      <c r="H153" s="831"/>
      <c r="I153" s="317">
        <v>-3.4558590096035913E-3</v>
      </c>
      <c r="J153" s="318">
        <v>4.0190775776976932E-2</v>
      </c>
      <c r="K153" s="319">
        <v>5.9887375652244432E-2</v>
      </c>
      <c r="L153" s="320">
        <v>3.3667731816716229E-2</v>
      </c>
      <c r="M153" s="321">
        <v>5.1329708365608573E-2</v>
      </c>
    </row>
    <row r="154" spans="1:13" x14ac:dyDescent="0.6">
      <c r="A154" s="828"/>
      <c r="B154" s="277" t="s">
        <v>16</v>
      </c>
      <c r="C154" s="336">
        <v>44601.033333333333</v>
      </c>
      <c r="D154" s="337">
        <v>54324.1</v>
      </c>
      <c r="E154" s="338">
        <v>53576.4</v>
      </c>
      <c r="F154" s="339">
        <v>152501.53333333333</v>
      </c>
      <c r="G154" s="340">
        <v>570477.36648127553</v>
      </c>
      <c r="H154" s="831"/>
      <c r="I154" s="341">
        <v>0.12415018567371827</v>
      </c>
      <c r="J154" s="342">
        <v>0.13174422399844438</v>
      </c>
      <c r="K154" s="343">
        <v>0.13119156806607712</v>
      </c>
      <c r="L154" s="344">
        <v>0.12931920139298558</v>
      </c>
      <c r="M154" s="345">
        <v>7.1103345139745144E-2</v>
      </c>
    </row>
    <row r="155" spans="1:13" x14ac:dyDescent="0.6">
      <c r="A155" s="828"/>
      <c r="B155" s="268" t="s">
        <v>17</v>
      </c>
      <c r="C155" s="305">
        <v>43616.903225806454</v>
      </c>
      <c r="D155" s="306">
        <v>55362.290322580644</v>
      </c>
      <c r="E155" s="307">
        <v>54595.272050195585</v>
      </c>
      <c r="F155" s="315">
        <v>153574.46559858267</v>
      </c>
      <c r="G155" s="316">
        <v>724051.83207985817</v>
      </c>
      <c r="H155" s="831"/>
      <c r="I155" s="317">
        <v>6.1240187175554801E-2</v>
      </c>
      <c r="J155" s="318">
        <v>8.3507211992229546E-2</v>
      </c>
      <c r="K155" s="319">
        <v>8.1204308553895432E-2</v>
      </c>
      <c r="L155" s="320">
        <v>7.627856086114404E-2</v>
      </c>
      <c r="M155" s="321">
        <v>7.2196867475452287E-2</v>
      </c>
    </row>
    <row r="156" spans="1:13" x14ac:dyDescent="0.6">
      <c r="A156" s="828"/>
      <c r="B156" s="277" t="s">
        <v>18</v>
      </c>
      <c r="C156" s="336">
        <v>42355.76666666667</v>
      </c>
      <c r="D156" s="337">
        <v>55511.8</v>
      </c>
      <c r="E156" s="338">
        <v>55002.5</v>
      </c>
      <c r="F156" s="339">
        <v>152870.06666666668</v>
      </c>
      <c r="G156" s="340">
        <v>876921.89874652482</v>
      </c>
      <c r="H156" s="831"/>
      <c r="I156" s="341">
        <v>2.9663729492588012E-2</v>
      </c>
      <c r="J156" s="342">
        <v>4.7177812697150948E-2</v>
      </c>
      <c r="K156" s="343">
        <v>4.7648017520877113E-2</v>
      </c>
      <c r="L156" s="344">
        <v>4.2433335217570534E-2</v>
      </c>
      <c r="M156" s="345">
        <v>6.6886605073284811E-2</v>
      </c>
    </row>
    <row r="157" spans="1:13" x14ac:dyDescent="0.6">
      <c r="A157" s="828"/>
      <c r="B157" s="268" t="s">
        <v>19</v>
      </c>
      <c r="C157" s="336">
        <v>39043.387096774197</v>
      </c>
      <c r="D157" s="337">
        <v>52469.774193548386</v>
      </c>
      <c r="E157" s="338">
        <v>54030.93548387097</v>
      </c>
      <c r="F157" s="339">
        <v>145544.09677419355</v>
      </c>
      <c r="G157" s="340">
        <v>1022465.9955207184</v>
      </c>
      <c r="H157" s="831"/>
      <c r="I157" s="341">
        <v>1.97677445881356E-2</v>
      </c>
      <c r="J157" s="342">
        <v>3.4968688080854834E-2</v>
      </c>
      <c r="K157" s="343">
        <v>4.7569895723409257E-2</v>
      </c>
      <c r="L157" s="344">
        <v>3.5452079310759332E-2</v>
      </c>
      <c r="M157" s="345">
        <v>6.2296018482718818E-2</v>
      </c>
    </row>
    <row r="158" spans="1:13" x14ac:dyDescent="0.6">
      <c r="A158" s="828"/>
      <c r="B158" s="277" t="s">
        <v>20</v>
      </c>
      <c r="C158" s="336">
        <v>44200.096774193546</v>
      </c>
      <c r="D158" s="337">
        <v>56313.548387096773</v>
      </c>
      <c r="E158" s="338">
        <v>57270.741935483871</v>
      </c>
      <c r="F158" s="339">
        <v>157784.38709677418</v>
      </c>
      <c r="G158" s="340">
        <v>1180250.3826174927</v>
      </c>
      <c r="H158" s="831"/>
      <c r="I158" s="341">
        <v>8.1175576627026749E-2</v>
      </c>
      <c r="J158" s="342">
        <v>0.11677477961591107</v>
      </c>
      <c r="K158" s="343">
        <v>7.6809172514336665E-2</v>
      </c>
      <c r="L158" s="344">
        <v>9.1991834476374823E-2</v>
      </c>
      <c r="M158" s="345">
        <v>6.6172101445729492E-2</v>
      </c>
    </row>
    <row r="159" spans="1:13" x14ac:dyDescent="0.6">
      <c r="A159" s="828"/>
      <c r="B159" s="268" t="s">
        <v>211</v>
      </c>
      <c r="C159" s="305">
        <v>46498.1</v>
      </c>
      <c r="D159" s="306">
        <v>57810.833333333336</v>
      </c>
      <c r="E159" s="307">
        <v>56692.76666666667</v>
      </c>
      <c r="F159" s="315">
        <v>161001.70000000001</v>
      </c>
      <c r="G159" s="316">
        <v>1341252.0826174926</v>
      </c>
      <c r="H159" s="831"/>
      <c r="I159" s="317">
        <v>6.3424626413955063E-2</v>
      </c>
      <c r="J159" s="318">
        <v>9.7825522762001349E-2</v>
      </c>
      <c r="K159" s="319">
        <v>7.8026842977542657E-2</v>
      </c>
      <c r="L159" s="320">
        <v>8.0739447700058697E-2</v>
      </c>
      <c r="M159" s="321">
        <v>6.7899967470287592E-2</v>
      </c>
    </row>
    <row r="160" spans="1:13" x14ac:dyDescent="0.6">
      <c r="A160" s="828"/>
      <c r="B160" s="277" t="s">
        <v>213</v>
      </c>
      <c r="C160" s="305">
        <v>44845.129032258068</v>
      </c>
      <c r="D160" s="306">
        <v>54877.838709677417</v>
      </c>
      <c r="E160" s="307">
        <v>53297.93548387097</v>
      </c>
      <c r="F160" s="315">
        <v>153020.90322580645</v>
      </c>
      <c r="G160" s="316">
        <v>1494272.9858432992</v>
      </c>
      <c r="H160" s="831"/>
      <c r="I160" s="317">
        <v>3.6569253046257286E-2</v>
      </c>
      <c r="J160" s="318">
        <v>4.1843679323798857E-2</v>
      </c>
      <c r="K160" s="319">
        <v>5.018386562968332E-2</v>
      </c>
      <c r="L160" s="320">
        <v>4.3173615921811903E-2</v>
      </c>
      <c r="M160" s="321">
        <v>6.5314125697884862E-2</v>
      </c>
    </row>
    <row r="161" spans="1:19" x14ac:dyDescent="0.6">
      <c r="A161" s="828"/>
      <c r="B161" s="268" t="s">
        <v>216</v>
      </c>
      <c r="C161" s="305">
        <v>45747.76666666667</v>
      </c>
      <c r="D161" s="306">
        <v>57078.166666666664</v>
      </c>
      <c r="E161" s="307">
        <v>53268.533333333333</v>
      </c>
      <c r="F161" s="315">
        <v>156094.46666666667</v>
      </c>
      <c r="G161" s="316">
        <v>1650367.4525099657</v>
      </c>
      <c r="H161" s="831"/>
      <c r="I161" s="317">
        <v>7.4498268975117451E-2</v>
      </c>
      <c r="J161" s="318">
        <v>0.10593668883907149</v>
      </c>
      <c r="K161" s="319">
        <v>8.3386664641884781E-2</v>
      </c>
      <c r="L161" s="320">
        <v>8.886530075069965E-2</v>
      </c>
      <c r="M161" s="321">
        <v>6.7497922969308233E-2</v>
      </c>
    </row>
    <row r="162" spans="1:19" ht="13.75" thickBot="1" x14ac:dyDescent="0.75">
      <c r="A162" s="829"/>
      <c r="B162" s="277" t="s">
        <v>217</v>
      </c>
      <c r="C162" s="305">
        <v>45044.129032258068</v>
      </c>
      <c r="D162" s="306">
        <v>56658.225806451614</v>
      </c>
      <c r="E162" s="307">
        <v>51741.354838709674</v>
      </c>
      <c r="F162" s="315">
        <v>153443.70967741936</v>
      </c>
      <c r="G162" s="316">
        <v>1803811.1621873851</v>
      </c>
      <c r="H162" s="831"/>
      <c r="I162" s="334">
        <v>0.12203043629535054</v>
      </c>
      <c r="J162" s="324">
        <v>0.11734151849613543</v>
      </c>
      <c r="K162" s="325">
        <v>0.13178372245303455</v>
      </c>
      <c r="L162" s="326">
        <v>0.12355435607004517</v>
      </c>
      <c r="M162" s="327">
        <v>7.2047840846281241E-2</v>
      </c>
    </row>
    <row r="163" spans="1:19" ht="16.25" thickBot="1" x14ac:dyDescent="0.75">
      <c r="A163" s="833" t="s">
        <v>242</v>
      </c>
      <c r="B163" s="834"/>
      <c r="C163" s="212">
        <v>43300</v>
      </c>
      <c r="D163" s="212">
        <v>54200</v>
      </c>
      <c r="E163" s="212">
        <v>52800</v>
      </c>
      <c r="F163" s="212">
        <v>150300</v>
      </c>
      <c r="G163" s="346"/>
      <c r="H163" s="832"/>
      <c r="I163" s="244">
        <v>5.7257966060310084E-2</v>
      </c>
      <c r="J163" s="244">
        <v>7.9143852663016379E-2</v>
      </c>
      <c r="K163" s="245">
        <v>7.6781890486387283E-2</v>
      </c>
      <c r="L163" s="246"/>
      <c r="M163" s="245">
        <v>7.2047840846281241E-2</v>
      </c>
    </row>
    <row r="164" spans="1:19" x14ac:dyDescent="0.6">
      <c r="A164" s="828">
        <v>2017</v>
      </c>
      <c r="B164" s="268" t="s">
        <v>191</v>
      </c>
      <c r="C164" s="305">
        <v>43322.645161290326</v>
      </c>
      <c r="D164" s="306">
        <v>53340.451612903227</v>
      </c>
      <c r="E164" s="307">
        <v>49643.838709677417</v>
      </c>
      <c r="F164" s="308">
        <v>146306.93548387097</v>
      </c>
      <c r="G164" s="309">
        <v>146306.93548387097</v>
      </c>
      <c r="H164" s="830" t="s">
        <v>244</v>
      </c>
      <c r="I164" s="310">
        <v>9.3792350794891913E-2</v>
      </c>
      <c r="J164" s="311">
        <v>9.8067835598681388E-2</v>
      </c>
      <c r="K164" s="312">
        <v>8.5755064346282578E-2</v>
      </c>
      <c r="L164" s="313">
        <v>9.2598994248547228E-2</v>
      </c>
      <c r="M164" s="314">
        <v>9.2598994248547228E-2</v>
      </c>
    </row>
    <row r="165" spans="1:19" x14ac:dyDescent="0.6">
      <c r="A165" s="828"/>
      <c r="B165" s="277" t="s">
        <v>195</v>
      </c>
      <c r="C165" s="305">
        <v>44620.678571428572</v>
      </c>
      <c r="D165" s="306">
        <v>54880.107142857145</v>
      </c>
      <c r="E165" s="307">
        <v>51641.499946411874</v>
      </c>
      <c r="F165" s="315">
        <v>151142.28566069758</v>
      </c>
      <c r="G165" s="316">
        <v>297449.22114456852</v>
      </c>
      <c r="H165" s="831"/>
      <c r="I165" s="317">
        <v>5.798882208485056E-2</v>
      </c>
      <c r="J165" s="318">
        <v>8.059873544479236E-2</v>
      </c>
      <c r="K165" s="319">
        <v>5.5380198451284224E-2</v>
      </c>
      <c r="L165" s="320">
        <v>6.5181826417116451E-2</v>
      </c>
      <c r="M165" s="321">
        <v>7.8493461024362166E-2</v>
      </c>
    </row>
    <row r="166" spans="1:19" x14ac:dyDescent="0.6">
      <c r="A166" s="828"/>
      <c r="B166" s="268" t="s">
        <v>15</v>
      </c>
      <c r="C166" s="305">
        <v>47551.225806451614</v>
      </c>
      <c r="D166" s="306">
        <v>59029.903225806454</v>
      </c>
      <c r="E166" s="307">
        <v>56354.548387096773</v>
      </c>
      <c r="F166" s="315">
        <v>162935.67741935485</v>
      </c>
      <c r="G166" s="316">
        <v>460384.89856392337</v>
      </c>
      <c r="H166" s="831"/>
      <c r="I166" s="317">
        <v>0.14258076067772535</v>
      </c>
      <c r="J166" s="318">
        <v>0.16307539571564414</v>
      </c>
      <c r="K166" s="319">
        <v>0.13151555858100608</v>
      </c>
      <c r="L166" s="320">
        <v>0.14602069686869656</v>
      </c>
      <c r="M166" s="321">
        <v>0.10146296042185421</v>
      </c>
    </row>
    <row r="167" spans="1:19" x14ac:dyDescent="0.6">
      <c r="A167" s="828"/>
      <c r="B167" s="277" t="s">
        <v>16</v>
      </c>
      <c r="C167" s="305">
        <v>42659.833333333336</v>
      </c>
      <c r="D167" s="306">
        <v>54475.633333333331</v>
      </c>
      <c r="E167" s="307">
        <v>63080.616666666669</v>
      </c>
      <c r="F167" s="315">
        <v>160216.08333333334</v>
      </c>
      <c r="G167" s="316">
        <v>620600.98189725669</v>
      </c>
      <c r="H167" s="831"/>
      <c r="I167" s="317">
        <v>-4.3523655281529287E-2</v>
      </c>
      <c r="J167" s="318">
        <v>2.7894310873688264E-3</v>
      </c>
      <c r="K167" s="319">
        <v>0.17739558213442239</v>
      </c>
      <c r="L167" s="320">
        <v>5.0586704483408518E-2</v>
      </c>
      <c r="M167" s="321">
        <v>8.7862583795647042E-2</v>
      </c>
    </row>
    <row r="168" spans="1:19" x14ac:dyDescent="0.6">
      <c r="A168" s="828"/>
      <c r="B168" s="268" t="s">
        <v>17</v>
      </c>
      <c r="C168" s="305">
        <v>46689</v>
      </c>
      <c r="D168" s="306">
        <v>61210.482180166997</v>
      </c>
      <c r="E168" s="307">
        <v>58165.885569130776</v>
      </c>
      <c r="F168" s="315">
        <v>166065.36774929776</v>
      </c>
      <c r="G168" s="316">
        <v>786666.34964655444</v>
      </c>
      <c r="H168" s="831"/>
      <c r="I168" s="317">
        <v>7.0433628868358161E-2</v>
      </c>
      <c r="J168" s="318">
        <v>0.10563493351721123</v>
      </c>
      <c r="K168" s="319">
        <v>6.5401515275028285E-2</v>
      </c>
      <c r="L168" s="320">
        <v>8.1334498557619428E-2</v>
      </c>
      <c r="M168" s="321">
        <v>8.647794921923535E-2</v>
      </c>
    </row>
    <row r="169" spans="1:19" x14ac:dyDescent="0.6">
      <c r="A169" s="828"/>
      <c r="B169" s="277" t="s">
        <v>18</v>
      </c>
      <c r="C169" s="305">
        <v>46568.26666666667</v>
      </c>
      <c r="D169" s="306">
        <v>62428.354623662672</v>
      </c>
      <c r="E169" s="307">
        <v>59982.778287697103</v>
      </c>
      <c r="F169" s="315">
        <v>168979.39957802644</v>
      </c>
      <c r="G169" s="316">
        <v>955645.74922458082</v>
      </c>
      <c r="H169" s="831"/>
      <c r="I169" s="317">
        <v>9.9455170606442406E-2</v>
      </c>
      <c r="J169" s="318">
        <v>0.12459611512620143</v>
      </c>
      <c r="K169" s="319">
        <v>9.0546398576375683E-2</v>
      </c>
      <c r="L169" s="320">
        <v>0.10537924959819756</v>
      </c>
      <c r="M169" s="321">
        <v>8.9772932561707153E-2</v>
      </c>
    </row>
    <row r="170" spans="1:19" x14ac:dyDescent="0.6">
      <c r="A170" s="828"/>
      <c r="B170" s="268" t="s">
        <v>19</v>
      </c>
      <c r="C170" s="305">
        <v>41982.516129032258</v>
      </c>
      <c r="D170" s="306">
        <v>59796.509359393349</v>
      </c>
      <c r="E170" s="307">
        <v>57596.083340171128</v>
      </c>
      <c r="F170" s="315">
        <v>159375.10882859671</v>
      </c>
      <c r="G170" s="316">
        <v>1115020.8580531776</v>
      </c>
      <c r="H170" s="831"/>
      <c r="I170" s="317">
        <v>7.5278536285108694E-2</v>
      </c>
      <c r="J170" s="318">
        <v>0.13963725360849463</v>
      </c>
      <c r="K170" s="319">
        <v>6.5983456040001512E-2</v>
      </c>
      <c r="L170" s="320">
        <v>9.502970138226563E-2</v>
      </c>
      <c r="M170" s="321">
        <v>9.0521213358614627E-2</v>
      </c>
    </row>
    <row r="171" spans="1:19" x14ac:dyDescent="0.6">
      <c r="A171" s="828"/>
      <c r="B171" s="277" t="s">
        <v>20</v>
      </c>
      <c r="C171" s="305">
        <v>45948.580645161288</v>
      </c>
      <c r="D171" s="306">
        <v>62799.193548387098</v>
      </c>
      <c r="E171" s="307">
        <v>59244.419354838712</v>
      </c>
      <c r="F171" s="315">
        <v>167992.19354838709</v>
      </c>
      <c r="G171" s="316">
        <v>1283013.0516015647</v>
      </c>
      <c r="H171" s="831"/>
      <c r="I171" s="317">
        <v>3.9558372007651436E-2</v>
      </c>
      <c r="J171" s="318">
        <v>0.11517024494191513</v>
      </c>
      <c r="K171" s="319">
        <v>3.4462228926215248E-2</v>
      </c>
      <c r="L171" s="320">
        <v>6.4694654771844773E-2</v>
      </c>
      <c r="M171" s="321">
        <v>8.7068532658443942E-2</v>
      </c>
    </row>
    <row r="172" spans="1:19" x14ac:dyDescent="0.6">
      <c r="A172" s="828"/>
      <c r="B172" s="268" t="s">
        <v>211</v>
      </c>
      <c r="C172" s="305">
        <v>47964.666666666664</v>
      </c>
      <c r="D172" s="306">
        <v>65386.366666666669</v>
      </c>
      <c r="E172" s="307">
        <v>59174.8</v>
      </c>
      <c r="F172" s="315">
        <v>172525.83333333331</v>
      </c>
      <c r="G172" s="316">
        <v>1455538.884934898</v>
      </c>
      <c r="H172" s="831"/>
      <c r="I172" s="317">
        <v>3.1540356846122011E-2</v>
      </c>
      <c r="J172" s="318">
        <v>0.13104002998284633</v>
      </c>
      <c r="K172" s="319">
        <v>4.3780423487299665E-2</v>
      </c>
      <c r="L172" s="320">
        <v>7.1577712119395676E-2</v>
      </c>
      <c r="M172" s="321">
        <v>8.5209039969855072E-2</v>
      </c>
    </row>
    <row r="173" spans="1:19" x14ac:dyDescent="0.6">
      <c r="A173" s="828"/>
      <c r="B173" s="277" t="s">
        <v>213</v>
      </c>
      <c r="C173" s="305">
        <v>47530.290322580644</v>
      </c>
      <c r="D173" s="306">
        <v>62012.258064516129</v>
      </c>
      <c r="E173" s="307">
        <v>57318.258064516129</v>
      </c>
      <c r="F173" s="315">
        <v>166860.80645161291</v>
      </c>
      <c r="G173" s="316">
        <v>1622399.6913865109</v>
      </c>
      <c r="H173" s="831"/>
      <c r="I173" s="317">
        <v>5.9876319864997633E-2</v>
      </c>
      <c r="J173" s="318">
        <v>0.13000547256575165</v>
      </c>
      <c r="K173" s="319">
        <v>7.5431112746605161E-2</v>
      </c>
      <c r="L173" s="320">
        <v>9.044452708126749E-2</v>
      </c>
      <c r="M173" s="321">
        <v>8.5745179600434707E-2</v>
      </c>
    </row>
    <row r="174" spans="1:19" x14ac:dyDescent="0.6">
      <c r="A174" s="828"/>
      <c r="B174" s="268" t="s">
        <v>216</v>
      </c>
      <c r="C174" s="305">
        <v>47185.666666666664</v>
      </c>
      <c r="D174" s="306">
        <v>62238.633333333331</v>
      </c>
      <c r="E174" s="307">
        <v>55233</v>
      </c>
      <c r="F174" s="315">
        <v>164657.29999999999</v>
      </c>
      <c r="G174" s="316">
        <v>1787056.9913865109</v>
      </c>
      <c r="H174" s="831"/>
      <c r="I174" s="317">
        <v>3.1431042535409612E-2</v>
      </c>
      <c r="J174" s="318">
        <v>9.0410518908280765E-2</v>
      </c>
      <c r="K174" s="319">
        <v>3.6878557447298475E-2</v>
      </c>
      <c r="L174" s="320">
        <v>5.485673846222161E-2</v>
      </c>
      <c r="M174" s="321">
        <v>8.2823700060650429E-2</v>
      </c>
    </row>
    <row r="175" spans="1:19" ht="13.75" thickBot="1" x14ac:dyDescent="0.75">
      <c r="A175" s="829"/>
      <c r="B175" s="277" t="s">
        <v>217</v>
      </c>
      <c r="C175" s="305">
        <v>46341.612903225803</v>
      </c>
      <c r="D175" s="306">
        <v>61376.322580645159</v>
      </c>
      <c r="E175" s="307">
        <v>53390.354838709674</v>
      </c>
      <c r="F175" s="315">
        <v>161108.29032258064</v>
      </c>
      <c r="G175" s="316">
        <v>1948165.2817090915</v>
      </c>
      <c r="H175" s="831"/>
      <c r="I175" s="334">
        <v>2.8804727693559136E-2</v>
      </c>
      <c r="J175" s="324">
        <v>8.3272935342361187E-2</v>
      </c>
      <c r="K175" s="325">
        <v>3.1870058392176472E-2</v>
      </c>
      <c r="L175" s="326">
        <v>4.9950438902150562E-2</v>
      </c>
      <c r="M175" s="327">
        <v>8.0027290299421239E-2</v>
      </c>
      <c r="O175" s="202">
        <f>AVERAGE(I176:K176)</f>
        <v>7.8351624203681469E-2</v>
      </c>
    </row>
    <row r="176" spans="1:19" ht="16.25" thickBot="1" x14ac:dyDescent="0.75">
      <c r="A176" s="833" t="s">
        <v>242</v>
      </c>
      <c r="B176" s="834"/>
      <c r="C176" s="212">
        <f>AVERAGE(C164:C175)</f>
        <v>45697.081906041996</v>
      </c>
      <c r="D176" s="212">
        <v>59914.517972639296</v>
      </c>
      <c r="E176" s="212">
        <v>56735.506930409698</v>
      </c>
      <c r="F176" s="212">
        <v>162347.10680909097</v>
      </c>
      <c r="G176" s="346"/>
      <c r="H176" s="832"/>
      <c r="I176" s="244">
        <v>5.5862916450791777E-2</v>
      </c>
      <c r="J176" s="244">
        <v>0.10522443568760109</v>
      </c>
      <c r="K176" s="245">
        <v>7.3967520472651538E-2</v>
      </c>
      <c r="L176" s="246"/>
      <c r="M176" s="245">
        <v>8.0027290299421239E-2</v>
      </c>
      <c r="O176" s="202">
        <f>AVERAGE(M164:M175)</f>
        <v>8.7338653101564426E-2</v>
      </c>
      <c r="Q176" s="202">
        <f>AVERAGE(I164:I175)</f>
        <v>5.726803608196563E-2</v>
      </c>
      <c r="R176" s="202">
        <f>AVERAGE(J164:J175)</f>
        <v>0.10535824181996241</v>
      </c>
      <c r="S176" s="202">
        <f>AVERAGE(K164:K175)</f>
        <v>7.4533346200332987E-2</v>
      </c>
    </row>
    <row r="177" spans="1:13" x14ac:dyDescent="0.6">
      <c r="A177" s="828">
        <v>2018</v>
      </c>
      <c r="B177" s="268" t="s">
        <v>191</v>
      </c>
      <c r="C177" s="305">
        <v>44341</v>
      </c>
      <c r="D177" s="306">
        <v>57672.709677419356</v>
      </c>
      <c r="E177" s="307">
        <v>51027.516129032258</v>
      </c>
      <c r="F177" s="308">
        <v>153041.22580645164</v>
      </c>
      <c r="G177" s="309">
        <v>153041.22580645164</v>
      </c>
      <c r="H177" s="830" t="s">
        <v>245</v>
      </c>
      <c r="I177" s="310">
        <v>2.3506294108273779E-2</v>
      </c>
      <c r="J177" s="311">
        <v>8.1218998593332897E-2</v>
      </c>
      <c r="K177" s="312">
        <v>2.7872087560487362E-2</v>
      </c>
      <c r="L177" s="313">
        <v>4.6028510544006807E-2</v>
      </c>
      <c r="M177" s="314">
        <v>4.6028510544006807E-2</v>
      </c>
    </row>
    <row r="178" spans="1:13" x14ac:dyDescent="0.6">
      <c r="A178" s="828"/>
      <c r="B178" s="277" t="s">
        <v>195</v>
      </c>
      <c r="C178" s="305">
        <v>44942.607142857145</v>
      </c>
      <c r="D178" s="306">
        <v>57856.382854565039</v>
      </c>
      <c r="E178" s="307">
        <v>51341.142857142855</v>
      </c>
      <c r="F178" s="315">
        <v>154140.13285456505</v>
      </c>
      <c r="G178" s="316">
        <v>307181.35866101668</v>
      </c>
      <c r="H178" s="831"/>
      <c r="I178" s="317">
        <v>7.2147843048426686E-3</v>
      </c>
      <c r="J178" s="318">
        <v>5.4232323270805932E-2</v>
      </c>
      <c r="K178" s="319">
        <v>-5.8161960744884961E-3</v>
      </c>
      <c r="L178" s="320">
        <v>1.9834602743784124E-2</v>
      </c>
      <c r="M178" s="321">
        <v>3.2718651872744697E-2</v>
      </c>
    </row>
    <row r="179" spans="1:13" x14ac:dyDescent="0.6">
      <c r="A179" s="828"/>
      <c r="B179" s="268" t="s">
        <v>15</v>
      </c>
      <c r="C179" s="305">
        <v>47113.774193548386</v>
      </c>
      <c r="D179" s="306">
        <v>62185.949659172125</v>
      </c>
      <c r="E179" s="307">
        <v>57596.806451612902</v>
      </c>
      <c r="F179" s="315">
        <v>166896.53030433343</v>
      </c>
      <c r="G179" s="316">
        <v>474077.88896535011</v>
      </c>
      <c r="H179" s="831"/>
      <c r="I179" s="317">
        <v>-9.1995864561681823E-3</v>
      </c>
      <c r="J179" s="318">
        <v>5.34652144234911E-2</v>
      </c>
      <c r="K179" s="319">
        <v>2.2043616710103252E-2</v>
      </c>
      <c r="L179" s="320">
        <v>2.4309303816771655E-2</v>
      </c>
      <c r="M179" s="321">
        <v>2.97424838306799E-2</v>
      </c>
    </row>
    <row r="180" spans="1:13" x14ac:dyDescent="0.6">
      <c r="A180" s="828"/>
      <c r="B180" s="277" t="s">
        <v>16</v>
      </c>
      <c r="C180" s="305">
        <v>47082.9</v>
      </c>
      <c r="D180" s="306">
        <v>62561.153648976149</v>
      </c>
      <c r="E180" s="307">
        <v>57285.966666666667</v>
      </c>
      <c r="F180" s="315">
        <v>166930.02031564282</v>
      </c>
      <c r="G180" s="316">
        <v>641007.90928099293</v>
      </c>
      <c r="H180" s="831"/>
      <c r="I180" s="317">
        <v>0.10368223035720561</v>
      </c>
      <c r="J180" s="318">
        <v>0.14842453076530518</v>
      </c>
      <c r="K180" s="319">
        <v>-9.1861023341295825E-2</v>
      </c>
      <c r="L180" s="320">
        <v>4.1905511872618817E-2</v>
      </c>
      <c r="M180" s="321">
        <v>3.2882525131284313E-2</v>
      </c>
    </row>
    <row r="181" spans="1:13" x14ac:dyDescent="0.6">
      <c r="A181" s="828"/>
      <c r="B181" s="268" t="s">
        <v>17</v>
      </c>
      <c r="C181" s="305">
        <v>47493.258064516129</v>
      </c>
      <c r="D181" s="306">
        <v>64262.548387096773</v>
      </c>
      <c r="E181" s="307">
        <v>58649</v>
      </c>
      <c r="F181" s="315">
        <v>170404.80645161291</v>
      </c>
      <c r="G181" s="316">
        <v>811412.7157326059</v>
      </c>
      <c r="H181" s="831"/>
      <c r="I181" s="317">
        <v>1.722585757921842E-2</v>
      </c>
      <c r="J181" s="318">
        <v>4.9861822652308492E-2</v>
      </c>
      <c r="K181" s="319">
        <v>8.305803756654526E-3</v>
      </c>
      <c r="L181" s="320">
        <v>2.6130907130897052E-2</v>
      </c>
      <c r="M181" s="321">
        <v>3.1457257701654529E-2</v>
      </c>
    </row>
    <row r="182" spans="1:13" x14ac:dyDescent="0.6">
      <c r="A182" s="828"/>
      <c r="B182" s="277" t="s">
        <v>18</v>
      </c>
      <c r="C182" s="305">
        <v>47208.633333333331</v>
      </c>
      <c r="D182" s="306">
        <v>65114</v>
      </c>
      <c r="E182" s="307">
        <v>60968.333333333336</v>
      </c>
      <c r="F182" s="315">
        <v>173290.96666666667</v>
      </c>
      <c r="G182" s="316">
        <v>984703.68239927257</v>
      </c>
      <c r="H182" s="831"/>
      <c r="I182" s="317">
        <v>1.3751138114080432E-2</v>
      </c>
      <c r="J182" s="318">
        <v>4.3019640554796373E-2</v>
      </c>
      <c r="K182" s="319">
        <v>1.6430633487985284E-2</v>
      </c>
      <c r="L182" s="320">
        <v>2.5515341511492151E-2</v>
      </c>
      <c r="M182" s="321">
        <v>3.0406594910582285E-2</v>
      </c>
    </row>
    <row r="183" spans="1:13" x14ac:dyDescent="0.6">
      <c r="A183" s="828"/>
      <c r="B183" s="268" t="s">
        <v>19</v>
      </c>
      <c r="C183" s="305">
        <v>43204.838709677417</v>
      </c>
      <c r="D183" s="306">
        <v>61430.645161290326</v>
      </c>
      <c r="E183" s="307">
        <v>58824.647880323762</v>
      </c>
      <c r="F183" s="315">
        <v>163460.13175129151</v>
      </c>
      <c r="G183" s="316">
        <v>1148163.8141505641</v>
      </c>
      <c r="H183" s="831"/>
      <c r="I183" s="317">
        <v>2.9115038672012417E-2</v>
      </c>
      <c r="J183" s="318">
        <v>2.7328280854579227E-2</v>
      </c>
      <c r="K183" s="319">
        <v>2.1330695924175046E-2</v>
      </c>
      <c r="L183" s="320">
        <v>2.5631498875323899E-2</v>
      </c>
      <c r="M183" s="321">
        <v>2.9724068261157033E-2</v>
      </c>
    </row>
    <row r="184" spans="1:13" x14ac:dyDescent="0.6">
      <c r="A184" s="828"/>
      <c r="B184" s="277" t="s">
        <v>20</v>
      </c>
      <c r="C184" s="305">
        <v>46837.903225806454</v>
      </c>
      <c r="D184" s="306">
        <v>63517.129032258068</v>
      </c>
      <c r="E184" s="307">
        <v>61645.838709677417</v>
      </c>
      <c r="F184" s="315">
        <v>172000.87096774194</v>
      </c>
      <c r="G184" s="316">
        <v>1320164.685118306</v>
      </c>
      <c r="H184" s="831"/>
      <c r="I184" s="317">
        <v>1.935473453495714E-2</v>
      </c>
      <c r="J184" s="318">
        <v>1.1432240500314652E-2</v>
      </c>
      <c r="K184" s="319">
        <v>4.0534102300094056E-2</v>
      </c>
      <c r="L184" s="320">
        <v>2.386228392333134E-2</v>
      </c>
      <c r="M184" s="321">
        <v>2.8956551510029849E-2</v>
      </c>
    </row>
    <row r="185" spans="1:13" x14ac:dyDescent="0.6">
      <c r="A185" s="828"/>
      <c r="B185" s="268" t="s">
        <v>211</v>
      </c>
      <c r="C185" s="305">
        <v>49113.5</v>
      </c>
      <c r="D185" s="306">
        <v>64878.033333333333</v>
      </c>
      <c r="E185" s="307">
        <v>61123.966666666667</v>
      </c>
      <c r="F185" s="315">
        <v>175115.5</v>
      </c>
      <c r="G185" s="316">
        <v>1495280.185118306</v>
      </c>
      <c r="H185" s="831"/>
      <c r="I185" s="317">
        <v>2.3951658859994215E-2</v>
      </c>
      <c r="J185" s="318">
        <v>-7.7743015745892355E-3</v>
      </c>
      <c r="K185" s="319">
        <v>3.2939134000734505E-2</v>
      </c>
      <c r="L185" s="320">
        <v>1.5010312465283171E-2</v>
      </c>
      <c r="M185" s="321">
        <v>2.7303496041732656E-2</v>
      </c>
    </row>
    <row r="186" spans="1:13" x14ac:dyDescent="0.6">
      <c r="A186" s="828"/>
      <c r="B186" s="277" t="s">
        <v>213</v>
      </c>
      <c r="C186" s="305">
        <v>49354.387096774197</v>
      </c>
      <c r="D186" s="306">
        <v>64632.096774193546</v>
      </c>
      <c r="E186" s="307">
        <v>59720.096774193546</v>
      </c>
      <c r="F186" s="315">
        <v>173706.58064516127</v>
      </c>
      <c r="G186" s="316">
        <v>1668986.7657634672</v>
      </c>
      <c r="H186" s="831"/>
      <c r="I186" s="317">
        <v>3.837756432400672E-2</v>
      </c>
      <c r="J186" s="318">
        <v>4.2247110352791807E-2</v>
      </c>
      <c r="K186" s="319">
        <v>4.1903553785147513E-2</v>
      </c>
      <c r="L186" s="320">
        <v>4.1026855491876901E-2</v>
      </c>
      <c r="M186" s="321">
        <v>2.8714918169851611E-2</v>
      </c>
    </row>
    <row r="187" spans="1:13" x14ac:dyDescent="0.6">
      <c r="A187" s="828"/>
      <c r="B187" s="268" t="s">
        <v>216</v>
      </c>
      <c r="C187" s="305">
        <v>48557.066666666666</v>
      </c>
      <c r="D187" s="306">
        <v>64891.366666666669</v>
      </c>
      <c r="E187" s="307">
        <v>58420.066666666666</v>
      </c>
      <c r="F187" s="315">
        <v>171868.5</v>
      </c>
      <c r="G187" s="316">
        <v>1840855.2657634672</v>
      </c>
      <c r="H187" s="831"/>
      <c r="I187" s="317">
        <v>2.9063910650833264E-2</v>
      </c>
      <c r="J187" s="318">
        <v>4.2621972740404065E-2</v>
      </c>
      <c r="K187" s="319">
        <v>5.7702219084001694E-2</v>
      </c>
      <c r="L187" s="320">
        <v>4.3795203735273347E-2</v>
      </c>
      <c r="M187" s="321">
        <v>3.0104397697588992E-2</v>
      </c>
    </row>
    <row r="188" spans="1:13" ht="13.75" thickBot="1" x14ac:dyDescent="0.75">
      <c r="A188" s="829"/>
      <c r="B188" s="277" t="s">
        <v>217</v>
      </c>
      <c r="C188" s="305">
        <v>45893.451612903227</v>
      </c>
      <c r="D188" s="306">
        <v>61448.193548387098</v>
      </c>
      <c r="E188" s="307">
        <v>54599.774193548386</v>
      </c>
      <c r="F188" s="315">
        <v>161941.41935483873</v>
      </c>
      <c r="G188" s="316">
        <v>2002796.685118306</v>
      </c>
      <c r="H188" s="831"/>
      <c r="I188" s="334">
        <v>-9.6708177002484044E-3</v>
      </c>
      <c r="J188" s="324">
        <v>1.1709884971929474E-3</v>
      </c>
      <c r="K188" s="325">
        <v>2.2652394023083833E-2</v>
      </c>
      <c r="L188" s="326">
        <v>5.1712362572400306E-3</v>
      </c>
      <c r="M188" s="327">
        <v>2.8042488962377599E-2</v>
      </c>
    </row>
    <row r="189" spans="1:13" ht="16.25" thickBot="1" x14ac:dyDescent="0.75">
      <c r="A189" s="833" t="s">
        <v>242</v>
      </c>
      <c r="B189" s="834"/>
      <c r="C189" s="212">
        <f>AVERAGE(C177:C188)</f>
        <v>46761.943337173579</v>
      </c>
      <c r="D189" s="212">
        <f>AVERAGE(D177:D188)</f>
        <v>62537.517395279887</v>
      </c>
      <c r="E189" s="212">
        <f>AVERAGE(E177:E188)</f>
        <v>57600.263027405366</v>
      </c>
      <c r="F189" s="212">
        <f>SUM(C189:E189)</f>
        <v>166899.72375985884</v>
      </c>
      <c r="G189" s="346"/>
      <c r="H189" s="832"/>
      <c r="I189" s="244">
        <f>I188</f>
        <v>-9.6708177002484044E-3</v>
      </c>
      <c r="J189" s="244">
        <f>J188</f>
        <v>1.1709884971929474E-3</v>
      </c>
      <c r="K189" s="245">
        <f>K188</f>
        <v>2.2652394023083833E-2</v>
      </c>
      <c r="L189" s="246"/>
      <c r="M189" s="245">
        <f>M188</f>
        <v>2.8042488962377599E-2</v>
      </c>
    </row>
    <row r="190" spans="1:13" x14ac:dyDescent="0.6">
      <c r="A190" s="828">
        <v>2019</v>
      </c>
      <c r="B190" s="268" t="s">
        <v>191</v>
      </c>
      <c r="C190" s="305">
        <v>44642.741935483871</v>
      </c>
      <c r="D190" s="306">
        <v>58065.774193548386</v>
      </c>
      <c r="E190" s="307">
        <v>52814.774193548386</v>
      </c>
      <c r="F190" s="308">
        <v>155523.29032258064</v>
      </c>
      <c r="G190" s="309">
        <v>155523.29032258064</v>
      </c>
      <c r="H190" s="830" t="s">
        <v>245</v>
      </c>
      <c r="I190" s="310">
        <v>6.8050322609745206E-3</v>
      </c>
      <c r="J190" s="311">
        <v>6.8154334749928915E-3</v>
      </c>
      <c r="K190" s="312">
        <v>3.502537846437058E-2</v>
      </c>
      <c r="L190" s="313">
        <v>1.6218273886985379E-2</v>
      </c>
      <c r="M190" s="314">
        <v>1.6218273886985379E-2</v>
      </c>
    </row>
    <row r="191" spans="1:13" x14ac:dyDescent="0.6">
      <c r="A191" s="828"/>
      <c r="B191" s="277" t="s">
        <v>195</v>
      </c>
      <c r="C191" s="305">
        <v>46672.785714285717</v>
      </c>
      <c r="D191" s="306">
        <v>61999.285714285717</v>
      </c>
      <c r="E191" s="307">
        <v>56348</v>
      </c>
      <c r="F191" s="315">
        <v>165020.07142857142</v>
      </c>
      <c r="G191" s="316">
        <v>320543.36175115209</v>
      </c>
      <c r="H191" s="831"/>
      <c r="I191" s="317">
        <v>3.8497512303390137E-2</v>
      </c>
      <c r="J191" s="318">
        <v>7.1606669053867242E-2</v>
      </c>
      <c r="K191" s="319">
        <v>9.7521341836677947E-2</v>
      </c>
      <c r="L191" s="320">
        <v>7.058472295642737E-2</v>
      </c>
      <c r="M191" s="321">
        <v>4.3498743375507853E-2</v>
      </c>
    </row>
    <row r="192" spans="1:13" x14ac:dyDescent="0.6">
      <c r="A192" s="828"/>
      <c r="B192" s="268" t="s">
        <v>15</v>
      </c>
      <c r="C192" s="305">
        <v>48267.870967741932</v>
      </c>
      <c r="D192" s="306">
        <v>63392.258064516129</v>
      </c>
      <c r="E192" s="307">
        <v>56616.741935483871</v>
      </c>
      <c r="F192" s="315">
        <v>168276.87096774194</v>
      </c>
      <c r="G192" s="316">
        <v>488820.23271889403</v>
      </c>
      <c r="H192" s="831"/>
      <c r="I192" s="317">
        <v>2.4495952488382558E-2</v>
      </c>
      <c r="J192" s="318">
        <v>1.9398407710351315E-2</v>
      </c>
      <c r="K192" s="319">
        <v>-1.7015952385352875E-2</v>
      </c>
      <c r="L192" s="320">
        <v>8.2706372678418294E-3</v>
      </c>
      <c r="M192" s="321">
        <v>3.1096881117401054E-2</v>
      </c>
    </row>
    <row r="193" spans="1:31" x14ac:dyDescent="0.6">
      <c r="A193" s="828"/>
      <c r="B193" s="277" t="s">
        <v>16</v>
      </c>
      <c r="C193" s="305">
        <v>44721.599999999999</v>
      </c>
      <c r="D193" s="306">
        <v>61176.3</v>
      </c>
      <c r="E193" s="307">
        <v>56750.2</v>
      </c>
      <c r="F193" s="315">
        <v>162648.09999999998</v>
      </c>
      <c r="G193" s="316">
        <v>651468.332718894</v>
      </c>
      <c r="H193" s="831"/>
      <c r="I193" s="317">
        <v>-5.0151966000395107E-2</v>
      </c>
      <c r="J193" s="318">
        <v>-2.2135999229592376E-2</v>
      </c>
      <c r="K193" s="319">
        <v>-9.3524941245064098E-3</v>
      </c>
      <c r="L193" s="320">
        <v>-2.5650990202638724E-2</v>
      </c>
      <c r="M193" s="321">
        <v>1.6318711963529964E-2</v>
      </c>
    </row>
    <row r="194" spans="1:31" x14ac:dyDescent="0.6">
      <c r="A194" s="828"/>
      <c r="B194" s="268" t="s">
        <v>17</v>
      </c>
      <c r="C194" s="305">
        <v>48394.677419354841</v>
      </c>
      <c r="D194" s="306">
        <v>67411.387096774197</v>
      </c>
      <c r="E194" s="307">
        <v>62668.322580645159</v>
      </c>
      <c r="F194" s="315">
        <v>178474.38709677418</v>
      </c>
      <c r="G194" s="316">
        <v>829942.71981566818</v>
      </c>
      <c r="H194" s="831"/>
      <c r="I194" s="317">
        <v>1.8979943503016777E-2</v>
      </c>
      <c r="J194" s="318">
        <v>4.8999592899893106E-2</v>
      </c>
      <c r="K194" s="319">
        <v>6.853181777430406E-2</v>
      </c>
      <c r="L194" s="320">
        <v>4.7355358180302565E-2</v>
      </c>
      <c r="M194" s="321">
        <v>2.2836718877805584E-2</v>
      </c>
      <c r="Z194" s="50" t="s">
        <v>158</v>
      </c>
      <c r="AA194" s="50" t="s">
        <v>205</v>
      </c>
      <c r="AB194" s="50" t="s">
        <v>251</v>
      </c>
      <c r="AC194" s="50" t="s">
        <v>252</v>
      </c>
      <c r="AD194" s="50" t="s">
        <v>253</v>
      </c>
      <c r="AE194" s="50" t="s">
        <v>254</v>
      </c>
    </row>
    <row r="195" spans="1:31" x14ac:dyDescent="0.6">
      <c r="A195" s="828"/>
      <c r="B195" s="277" t="s">
        <v>18</v>
      </c>
      <c r="C195" s="305">
        <v>44990.2</v>
      </c>
      <c r="D195" s="306">
        <v>64227.3</v>
      </c>
      <c r="E195" s="307">
        <v>61506.366666666669</v>
      </c>
      <c r="F195" s="315">
        <v>170723.86666666667</v>
      </c>
      <c r="G195" s="316">
        <v>1000666.5864823349</v>
      </c>
      <c r="H195" s="831"/>
      <c r="I195" s="317">
        <v>-4.699211090626787E-2</v>
      </c>
      <c r="J195" s="318">
        <v>-1.3617655189360154E-2</v>
      </c>
      <c r="K195" s="319">
        <v>8.8247997594379513E-3</v>
      </c>
      <c r="L195" s="320">
        <v>-1.4813813145482357E-2</v>
      </c>
      <c r="M195" s="321">
        <v>1.6210870710027248E-2</v>
      </c>
      <c r="Y195" s="50" t="s">
        <v>255</v>
      </c>
      <c r="Z195" s="50">
        <v>14</v>
      </c>
      <c r="AA195" s="50" t="s">
        <v>69</v>
      </c>
      <c r="AB195" s="50">
        <v>3</v>
      </c>
      <c r="AC195" s="50" t="s">
        <v>69</v>
      </c>
      <c r="AD195" s="50" t="s">
        <v>69</v>
      </c>
      <c r="AE195" s="50" t="s">
        <v>69</v>
      </c>
    </row>
    <row r="196" spans="1:31" x14ac:dyDescent="0.6">
      <c r="A196" s="828"/>
      <c r="B196" s="268" t="s">
        <v>19</v>
      </c>
      <c r="C196" s="305">
        <v>43749.258064516129</v>
      </c>
      <c r="D196" s="306">
        <v>62981.677419354841</v>
      </c>
      <c r="E196" s="307">
        <v>60408.806451612902</v>
      </c>
      <c r="F196" s="315">
        <v>167139.74193548388</v>
      </c>
      <c r="G196" s="316">
        <v>1167806.3284178188</v>
      </c>
      <c r="H196" s="831"/>
      <c r="I196" s="317">
        <v>1.2600888490685835E-2</v>
      </c>
      <c r="J196" s="318">
        <v>2.5248509990285384E-2</v>
      </c>
      <c r="K196" s="319">
        <v>2.6930183662332196E-2</v>
      </c>
      <c r="L196" s="320">
        <v>2.2510750142982872E-2</v>
      </c>
      <c r="M196" s="321">
        <v>1.7107762869000176E-2</v>
      </c>
      <c r="Y196" s="50" t="s">
        <v>256</v>
      </c>
      <c r="Z196" s="50">
        <v>3950</v>
      </c>
      <c r="AA196" s="50">
        <v>10</v>
      </c>
      <c r="AB196" s="50" t="s">
        <v>69</v>
      </c>
      <c r="AC196" s="50">
        <v>3</v>
      </c>
      <c r="AD196" s="50" t="s">
        <v>69</v>
      </c>
      <c r="AE196" s="50" t="s">
        <v>69</v>
      </c>
    </row>
    <row r="197" spans="1:31" x14ac:dyDescent="0.6">
      <c r="A197" s="828"/>
      <c r="B197" s="277" t="s">
        <v>20</v>
      </c>
      <c r="C197" s="305">
        <v>46647.354838709674</v>
      </c>
      <c r="D197" s="306">
        <v>63398.516129032258</v>
      </c>
      <c r="E197" s="307">
        <v>62568.06451612903</v>
      </c>
      <c r="F197" s="315">
        <v>172613.93548387097</v>
      </c>
      <c r="G197" s="316">
        <v>1340420.2639016898</v>
      </c>
      <c r="H197" s="831"/>
      <c r="I197" s="317">
        <v>-4.068251863840756E-3</v>
      </c>
      <c r="J197" s="318">
        <v>-1.8674160031000647E-3</v>
      </c>
      <c r="K197" s="319">
        <v>1.4960065849616526E-2</v>
      </c>
      <c r="L197" s="320">
        <v>3.564310533311188E-3</v>
      </c>
      <c r="M197" s="321">
        <v>1.5343221199382917E-2</v>
      </c>
      <c r="Y197" s="50" t="s">
        <v>257</v>
      </c>
      <c r="Z197" s="50">
        <v>5758</v>
      </c>
      <c r="AA197" s="50">
        <v>52</v>
      </c>
      <c r="AB197" s="50" t="s">
        <v>69</v>
      </c>
      <c r="AC197" s="50" t="s">
        <v>69</v>
      </c>
      <c r="AD197" s="50" t="s">
        <v>69</v>
      </c>
      <c r="AE197" s="50">
        <v>1</v>
      </c>
    </row>
    <row r="198" spans="1:31" x14ac:dyDescent="0.6">
      <c r="A198" s="828"/>
      <c r="B198" s="268" t="s">
        <v>211</v>
      </c>
      <c r="C198" s="305">
        <v>48423.7</v>
      </c>
      <c r="D198" s="306">
        <v>64866.3</v>
      </c>
      <c r="E198" s="307">
        <v>62377.751281927784</v>
      </c>
      <c r="F198" s="315">
        <v>175667.75128192778</v>
      </c>
      <c r="G198" s="316">
        <v>1516088.0151836176</v>
      </c>
      <c r="H198" s="831"/>
      <c r="I198" s="317">
        <v>-1.404501817219304E-2</v>
      </c>
      <c r="J198" s="318">
        <v>-1.8085217338580347E-4</v>
      </c>
      <c r="K198" s="319">
        <v>2.0512160509780119E-2</v>
      </c>
      <c r="L198" s="320">
        <v>3.1536402084781923E-3</v>
      </c>
      <c r="M198" s="321">
        <v>1.3915672977145244E-2</v>
      </c>
      <c r="S198" s="76">
        <f>S199*(1-U198)</f>
        <v>1527787.18</v>
      </c>
      <c r="U198" s="189">
        <v>9.1999999999999998E-2</v>
      </c>
      <c r="Y198" s="50" t="s">
        <v>258</v>
      </c>
      <c r="Z198" s="50">
        <v>12383</v>
      </c>
      <c r="AA198" s="50">
        <v>245</v>
      </c>
      <c r="AB198" s="50">
        <v>15</v>
      </c>
      <c r="AC198" s="50">
        <v>2</v>
      </c>
      <c r="AD198" s="50" t="s">
        <v>69</v>
      </c>
      <c r="AE198" s="50">
        <v>26</v>
      </c>
    </row>
    <row r="199" spans="1:31" x14ac:dyDescent="0.6">
      <c r="A199" s="828"/>
      <c r="B199" s="277" t="s">
        <v>213</v>
      </c>
      <c r="C199" s="336">
        <v>48885.387096774197</v>
      </c>
      <c r="D199" s="337">
        <v>66077.548387096773</v>
      </c>
      <c r="E199" s="338">
        <v>61538.261715171757</v>
      </c>
      <c r="F199" s="339">
        <v>176501.19719904271</v>
      </c>
      <c r="G199" s="340">
        <v>1692589.2123826602</v>
      </c>
      <c r="H199" s="831"/>
      <c r="I199" s="341">
        <v>-9.5027013319076113E-3</v>
      </c>
      <c r="J199" s="342">
        <v>2.2364300170443649E-2</v>
      </c>
      <c r="K199" s="343">
        <v>3.0444775530971392E-2</v>
      </c>
      <c r="L199" s="344">
        <v>1.6088144407091498E-2</v>
      </c>
      <c r="M199" s="345">
        <v>1.4141781770448114E-2</v>
      </c>
      <c r="S199" s="50">
        <v>1682585</v>
      </c>
      <c r="U199" s="50">
        <f>(S204-S198)/S198</f>
        <v>0.32544769749933372</v>
      </c>
      <c r="Y199" s="50" t="s">
        <v>259</v>
      </c>
      <c r="Z199" s="50">
        <v>35410</v>
      </c>
      <c r="AA199" s="50">
        <v>1697</v>
      </c>
      <c r="AB199" s="50" t="s">
        <v>69</v>
      </c>
      <c r="AC199" s="50">
        <v>88</v>
      </c>
      <c r="AD199" s="50" t="s">
        <v>69</v>
      </c>
      <c r="AE199" s="50">
        <v>1660</v>
      </c>
    </row>
    <row r="200" spans="1:31" x14ac:dyDescent="0.6">
      <c r="A200" s="828"/>
      <c r="B200" s="268" t="s">
        <v>216</v>
      </c>
      <c r="C200" s="305">
        <v>47883.533333333333</v>
      </c>
      <c r="D200" s="306">
        <v>64801.866666666669</v>
      </c>
      <c r="E200" s="307">
        <v>59477.23333333333</v>
      </c>
      <c r="F200" s="315">
        <v>172162.63333333333</v>
      </c>
      <c r="G200" s="316">
        <v>1864751.8457159935</v>
      </c>
      <c r="H200" s="831"/>
      <c r="I200" s="317">
        <v>-1.3870964198825839E-2</v>
      </c>
      <c r="J200" s="318">
        <v>-1.379228156185132E-3</v>
      </c>
      <c r="K200" s="319">
        <v>1.8095951048783424E-2</v>
      </c>
      <c r="L200" s="320">
        <v>1.7113859336255199E-3</v>
      </c>
      <c r="M200" s="321">
        <v>1.2981237795800071E-2</v>
      </c>
      <c r="U200" s="50">
        <f>(S204-S199)/S199</f>
        <v>0.20350650932939496</v>
      </c>
      <c r="Y200" s="50" t="s">
        <v>260</v>
      </c>
      <c r="Z200" s="50">
        <v>71575</v>
      </c>
      <c r="AA200" s="50">
        <v>22854</v>
      </c>
      <c r="AB200" s="50">
        <v>50</v>
      </c>
      <c r="AC200" s="50">
        <v>2350</v>
      </c>
      <c r="AD200" s="50">
        <v>406</v>
      </c>
      <c r="AE200" s="50">
        <v>1938</v>
      </c>
    </row>
    <row r="201" spans="1:31" ht="13.75" thickBot="1" x14ac:dyDescent="0.75">
      <c r="A201" s="829"/>
      <c r="B201" s="277" t="s">
        <v>217</v>
      </c>
      <c r="C201" s="305">
        <v>44881.161290322583</v>
      </c>
      <c r="D201" s="306">
        <v>60800.129032258068</v>
      </c>
      <c r="E201" s="307">
        <v>54568.806451612902</v>
      </c>
      <c r="F201" s="315">
        <v>160250.09677419355</v>
      </c>
      <c r="G201" s="316">
        <v>2025001.942490187</v>
      </c>
      <c r="H201" s="831"/>
      <c r="I201" s="334">
        <v>-2.2057402243766566E-2</v>
      </c>
      <c r="J201" s="324">
        <v>-1.0546518598935134E-2</v>
      </c>
      <c r="K201" s="325">
        <v>-5.6717710636876621E-4</v>
      </c>
      <c r="L201" s="326">
        <v>-1.0444039501341096E-2</v>
      </c>
      <c r="M201" s="327">
        <v>1.1087125087072547E-2</v>
      </c>
      <c r="S201" s="50">
        <v>1803811</v>
      </c>
      <c r="Y201" s="50" t="s">
        <v>261</v>
      </c>
      <c r="Z201" s="50">
        <v>30232</v>
      </c>
      <c r="AA201" s="50">
        <v>30690</v>
      </c>
      <c r="AB201" s="50">
        <v>289</v>
      </c>
      <c r="AC201" s="50">
        <v>851</v>
      </c>
      <c r="AD201" s="50">
        <v>4301</v>
      </c>
      <c r="AE201" s="50">
        <v>1203</v>
      </c>
    </row>
    <row r="202" spans="1:31" ht="16.25" thickBot="1" x14ac:dyDescent="0.75">
      <c r="A202" s="833" t="s">
        <v>242</v>
      </c>
      <c r="B202" s="834"/>
      <c r="C202" s="347">
        <v>46510</v>
      </c>
      <c r="D202" s="347">
        <v>63270</v>
      </c>
      <c r="E202" s="347">
        <v>58970</v>
      </c>
      <c r="F202" s="212">
        <v>168750</v>
      </c>
      <c r="G202" s="346"/>
      <c r="H202" s="832"/>
      <c r="I202" s="244">
        <v>-5.3464499572284385E-3</v>
      </c>
      <c r="J202" s="244">
        <v>1.1672529581068014E-2</v>
      </c>
      <c r="K202" s="245">
        <v>2.3784722222222276E-2</v>
      </c>
      <c r="L202" s="348"/>
      <c r="M202" s="245">
        <v>1.1087125087072547E-2</v>
      </c>
      <c r="O202" s="202">
        <f>AVERAGE(L190:L201)</f>
        <v>1.1545698388965353E-2</v>
      </c>
      <c r="S202" s="50">
        <v>1948165</v>
      </c>
      <c r="T202" s="50">
        <f>(S202-S201)/S201</f>
        <v>8.0027231234314461E-2</v>
      </c>
      <c r="Y202" s="50" t="s">
        <v>262</v>
      </c>
      <c r="Z202" s="50">
        <v>9170</v>
      </c>
      <c r="AA202" s="50">
        <v>38544</v>
      </c>
      <c r="AB202" s="50">
        <v>6</v>
      </c>
      <c r="AC202" s="50">
        <v>105</v>
      </c>
      <c r="AD202" s="50">
        <v>1080</v>
      </c>
      <c r="AE202" s="50">
        <v>404</v>
      </c>
    </row>
    <row r="203" spans="1:31" ht="12.75" customHeight="1" x14ac:dyDescent="0.6">
      <c r="A203" s="821" t="s">
        <v>246</v>
      </c>
      <c r="B203" s="501" t="s">
        <v>191</v>
      </c>
      <c r="C203" s="505">
        <v>43332.290322580644</v>
      </c>
      <c r="D203" s="506">
        <v>57700.516129032258</v>
      </c>
      <c r="E203" s="507">
        <v>52034.419354838712</v>
      </c>
      <c r="F203" s="520">
        <v>153067.22580645164</v>
      </c>
      <c r="G203" s="521">
        <v>153067.22580645164</v>
      </c>
      <c r="H203" s="823" t="s">
        <v>245</v>
      </c>
      <c r="I203" s="533">
        <v>-2.9354191881785532E-2</v>
      </c>
      <c r="J203" s="534">
        <v>-6.2904192631381833E-3</v>
      </c>
      <c r="K203" s="535">
        <v>-1.4775313359287239E-2</v>
      </c>
      <c r="L203" s="536">
        <v>-1.5792261795868123E-2</v>
      </c>
      <c r="M203" s="537">
        <v>-1.5792261795868123E-2</v>
      </c>
      <c r="S203" s="50">
        <v>2002797</v>
      </c>
      <c r="T203" s="50">
        <f>(S203-S202)/S202</f>
        <v>2.8042799249550217E-2</v>
      </c>
      <c r="Y203" s="50" t="s">
        <v>263</v>
      </c>
      <c r="Z203" s="50">
        <v>3785</v>
      </c>
      <c r="AA203" s="50">
        <v>15013</v>
      </c>
      <c r="AB203" s="50">
        <v>25</v>
      </c>
      <c r="AC203" s="50">
        <v>39</v>
      </c>
      <c r="AD203" s="50">
        <v>1384</v>
      </c>
      <c r="AE203" s="50">
        <v>8</v>
      </c>
    </row>
    <row r="204" spans="1:31" x14ac:dyDescent="0.6">
      <c r="A204" s="821"/>
      <c r="B204" s="502" t="s">
        <v>195</v>
      </c>
      <c r="C204" s="505">
        <v>45272.517241379312</v>
      </c>
      <c r="D204" s="506">
        <v>61550.793103448275</v>
      </c>
      <c r="E204" s="507">
        <v>56757.310344827587</v>
      </c>
      <c r="F204" s="508">
        <v>163580.62068965519</v>
      </c>
      <c r="G204" s="509">
        <v>316647.84649610682</v>
      </c>
      <c r="H204" s="824"/>
      <c r="I204" s="510">
        <v>-3.0001819078860088E-2</v>
      </c>
      <c r="J204" s="511">
        <v>-7.2338351268150421E-3</v>
      </c>
      <c r="K204" s="512">
        <v>7.2639728974868136E-3</v>
      </c>
      <c r="L204" s="513">
        <v>-8.7228827769554318E-3</v>
      </c>
      <c r="M204" s="514">
        <v>-1.2152849566947066E-2</v>
      </c>
      <c r="S204" s="50">
        <v>2025002</v>
      </c>
      <c r="T204" s="50">
        <f>(S204-S203)/S203</f>
        <v>1.1086994837719449E-2</v>
      </c>
      <c r="U204" s="50">
        <f>(S204-S202)/S202</f>
        <v>3.9440704457784637E-2</v>
      </c>
      <c r="Y204" s="50" t="s">
        <v>264</v>
      </c>
      <c r="Z204" s="50">
        <v>281</v>
      </c>
      <c r="AA204" s="50">
        <v>4179</v>
      </c>
      <c r="AB204" s="50" t="s">
        <v>69</v>
      </c>
      <c r="AC204" s="50" t="s">
        <v>69</v>
      </c>
      <c r="AD204" s="50" t="s">
        <v>69</v>
      </c>
      <c r="AE204" s="50" t="s">
        <v>69</v>
      </c>
    </row>
    <row r="205" spans="1:31" x14ac:dyDescent="0.6">
      <c r="A205" s="821"/>
      <c r="B205" s="501" t="s">
        <v>15</v>
      </c>
      <c r="C205" s="505">
        <v>35126.774193548386</v>
      </c>
      <c r="D205" s="506">
        <v>51849.741935483871</v>
      </c>
      <c r="E205" s="507">
        <v>46524.032258064515</v>
      </c>
      <c r="F205" s="508">
        <v>133500.54838709679</v>
      </c>
      <c r="G205" s="509">
        <v>450148.39488320361</v>
      </c>
      <c r="H205" s="824"/>
      <c r="I205" s="510">
        <v>-0.27225349928891451</v>
      </c>
      <c r="J205" s="511">
        <v>-0.18208084837875796</v>
      </c>
      <c r="K205" s="512">
        <v>-0.17826369607986697</v>
      </c>
      <c r="L205" s="513">
        <v>-0.20666133367378603</v>
      </c>
      <c r="M205" s="514">
        <v>-7.9112596507291966E-2</v>
      </c>
      <c r="Y205" s="50" t="s">
        <v>265</v>
      </c>
      <c r="Z205" s="50">
        <v>104</v>
      </c>
      <c r="AA205" s="50">
        <v>9355</v>
      </c>
      <c r="AB205" s="50">
        <v>33</v>
      </c>
      <c r="AC205" s="50">
        <v>16</v>
      </c>
      <c r="AD205" s="50" t="s">
        <v>69</v>
      </c>
      <c r="AE205" s="50" t="s">
        <v>69</v>
      </c>
    </row>
    <row r="206" spans="1:31" x14ac:dyDescent="0.6">
      <c r="A206" s="821"/>
      <c r="B206" s="502" t="s">
        <v>16</v>
      </c>
      <c r="C206" s="505">
        <v>28013.166666666668</v>
      </c>
      <c r="D206" s="506">
        <v>47126.400000000001</v>
      </c>
      <c r="E206" s="507">
        <v>42406.9</v>
      </c>
      <c r="F206" s="508">
        <v>117546.46666666667</v>
      </c>
      <c r="G206" s="509">
        <v>567694.86154987034</v>
      </c>
      <c r="H206" s="824"/>
      <c r="I206" s="510">
        <v>-0.37360991854793502</v>
      </c>
      <c r="J206" s="511">
        <v>-0.22966246732803391</v>
      </c>
      <c r="K206" s="512">
        <v>-0.25274448371988112</v>
      </c>
      <c r="L206" s="513">
        <v>-0.27729578970386559</v>
      </c>
      <c r="M206" s="514">
        <v>-0.12859177792939869</v>
      </c>
    </row>
    <row r="207" spans="1:31" x14ac:dyDescent="0.6">
      <c r="A207" s="821"/>
      <c r="B207" s="501" t="s">
        <v>17</v>
      </c>
      <c r="C207" s="505">
        <v>39763.387096774197</v>
      </c>
      <c r="D207" s="506">
        <v>63616.93548387097</v>
      </c>
      <c r="E207" s="507">
        <v>58081</v>
      </c>
      <c r="F207" s="508">
        <v>161461.32258064515</v>
      </c>
      <c r="G207" s="509">
        <v>729156.18413051544</v>
      </c>
      <c r="H207" s="824"/>
      <c r="I207" s="510">
        <v>-1.5505598997114897E-2</v>
      </c>
      <c r="J207" s="511">
        <v>3.2133272507692656E-2</v>
      </c>
      <c r="K207" s="512">
        <v>1.2254015979917479E-2</v>
      </c>
      <c r="L207" s="513">
        <v>1.2417322631711691E-2</v>
      </c>
      <c r="M207" s="514">
        <v>-9.8600876340504406E-2</v>
      </c>
    </row>
    <row r="208" spans="1:31" x14ac:dyDescent="0.6">
      <c r="A208" s="821"/>
      <c r="B208" s="502" t="s">
        <v>18</v>
      </c>
      <c r="C208" s="505">
        <v>44292.6</v>
      </c>
      <c r="D208" s="506">
        <v>66291.133333333331</v>
      </c>
      <c r="E208" s="507">
        <v>62260.066666666666</v>
      </c>
      <c r="F208" s="508">
        <v>172843.8</v>
      </c>
      <c r="G208" s="509">
        <v>901999.98413051548</v>
      </c>
      <c r="H208" s="824"/>
      <c r="I208" s="510">
        <v>-1.5505598997114897E-2</v>
      </c>
      <c r="J208" s="511">
        <v>3.2133272507692656E-2</v>
      </c>
      <c r="K208" s="512">
        <v>1.2254015979917479E-2</v>
      </c>
      <c r="L208" s="513">
        <v>1.2417322631711691E-2</v>
      </c>
      <c r="M208" s="514">
        <v>-9.8600876340504406E-2</v>
      </c>
    </row>
    <row r="209" spans="1:21" x14ac:dyDescent="0.6">
      <c r="A209" s="821"/>
      <c r="B209" s="501" t="s">
        <v>19</v>
      </c>
      <c r="C209" s="505">
        <v>39867.677419354841</v>
      </c>
      <c r="D209" s="506">
        <v>62533.677419354841</v>
      </c>
      <c r="E209" s="507">
        <v>59020.225806451614</v>
      </c>
      <c r="F209" s="508">
        <v>161421.5806451613</v>
      </c>
      <c r="G209" s="509">
        <v>1063421.5647756767</v>
      </c>
      <c r="H209" s="824"/>
      <c r="I209" s="510">
        <v>-8.8723347935117006E-2</v>
      </c>
      <c r="J209" s="511">
        <v>-7.1131798700287642E-3</v>
      </c>
      <c r="K209" s="512">
        <v>-2.2986394314437133E-2</v>
      </c>
      <c r="L209" s="513">
        <v>-3.4211859035475745E-2</v>
      </c>
      <c r="M209" s="514">
        <v>-8.9385338220906774E-2</v>
      </c>
      <c r="S209" s="349">
        <v>2.7777770000000001E-7</v>
      </c>
      <c r="U209" s="50">
        <v>74.069999999999993</v>
      </c>
    </row>
    <row r="210" spans="1:21" x14ac:dyDescent="0.6">
      <c r="A210" s="821"/>
      <c r="B210" s="502" t="s">
        <v>20</v>
      </c>
      <c r="C210" s="505">
        <v>40612.612903225803</v>
      </c>
      <c r="D210" s="506">
        <v>61342.225806451614</v>
      </c>
      <c r="E210" s="507">
        <v>58116.096774193546</v>
      </c>
      <c r="F210" s="508">
        <v>160070.93548387097</v>
      </c>
      <c r="G210" s="509">
        <v>1223492.5002595477</v>
      </c>
      <c r="H210" s="824"/>
      <c r="I210" s="510">
        <v>-0.12936943490900843</v>
      </c>
      <c r="J210" s="511">
        <v>-3.2434360425653577E-2</v>
      </c>
      <c r="K210" s="512">
        <v>-7.1153994875258447E-2</v>
      </c>
      <c r="L210" s="513">
        <v>-7.2665048536431853E-2</v>
      </c>
      <c r="M210" s="514">
        <v>-8.7232166501115982E-2</v>
      </c>
      <c r="P210" s="50">
        <v>8.8000000000000007</v>
      </c>
      <c r="Q210" s="50" t="s">
        <v>247</v>
      </c>
      <c r="S210" s="349">
        <v>1000000000000</v>
      </c>
    </row>
    <row r="211" spans="1:21" x14ac:dyDescent="0.6">
      <c r="A211" s="821"/>
      <c r="B211" s="501" t="s">
        <v>211</v>
      </c>
      <c r="C211" s="505">
        <v>44213.633333333331</v>
      </c>
      <c r="D211" s="506">
        <v>64904.866666666669</v>
      </c>
      <c r="E211" s="507">
        <v>58732.26666666667</v>
      </c>
      <c r="F211" s="508">
        <v>167850.76666666666</v>
      </c>
      <c r="G211" s="509">
        <v>1391343.2669262143</v>
      </c>
      <c r="H211" s="824"/>
      <c r="I211" s="510">
        <v>-8.6942275511096137E-2</v>
      </c>
      <c r="J211" s="511">
        <v>5.9455628988651572E-4</v>
      </c>
      <c r="K211" s="512">
        <v>-5.8442065325257905E-2</v>
      </c>
      <c r="L211" s="513">
        <v>-4.4498688906854045E-2</v>
      </c>
      <c r="M211" s="514">
        <v>-8.2280676984505474E-2</v>
      </c>
      <c r="P211" s="50">
        <f>P210/1000000</f>
        <v>8.8000000000000004E-6</v>
      </c>
      <c r="Q211" s="50" t="s">
        <v>248</v>
      </c>
      <c r="S211" s="349">
        <f>S209*S210</f>
        <v>277777.7</v>
      </c>
      <c r="T211" s="50" t="s">
        <v>249</v>
      </c>
    </row>
    <row r="212" spans="1:21" x14ac:dyDescent="0.6">
      <c r="A212" s="821"/>
      <c r="B212" s="502" t="s">
        <v>213</v>
      </c>
      <c r="C212" s="523">
        <v>35015.451612903227</v>
      </c>
      <c r="D212" s="524">
        <v>55922.645161290326</v>
      </c>
      <c r="E212" s="525">
        <v>50345.129032258068</v>
      </c>
      <c r="F212" s="526">
        <v>141283.22580645161</v>
      </c>
      <c r="G212" s="527">
        <v>1532626.492732666</v>
      </c>
      <c r="H212" s="824"/>
      <c r="I212" s="528">
        <v>-0.2837235482336235</v>
      </c>
      <c r="J212" s="529">
        <v>-0.15368159796602618</v>
      </c>
      <c r="K212" s="530">
        <v>-0.18188899671428505</v>
      </c>
      <c r="L212" s="531">
        <v>-0.19953389524534126</v>
      </c>
      <c r="M212" s="532">
        <v>-9.4507703629290285E-2</v>
      </c>
      <c r="P212" s="350">
        <f>P211*S211</f>
        <v>2.4444437600000004</v>
      </c>
      <c r="Q212" s="50" t="s">
        <v>250</v>
      </c>
    </row>
    <row r="213" spans="1:21" x14ac:dyDescent="0.6">
      <c r="A213" s="821"/>
      <c r="B213" s="501" t="s">
        <v>216</v>
      </c>
      <c r="C213" s="505">
        <v>34626.9</v>
      </c>
      <c r="D213" s="506">
        <v>54664.7</v>
      </c>
      <c r="E213" s="507">
        <v>48428.2</v>
      </c>
      <c r="F213" s="508">
        <v>137719.79999999999</v>
      </c>
      <c r="G213" s="509">
        <v>1670346.292732666</v>
      </c>
      <c r="H213" s="824"/>
      <c r="I213" s="510">
        <v>-0.27685161078338688</v>
      </c>
      <c r="J213" s="511">
        <v>-0.15643325089400723</v>
      </c>
      <c r="K213" s="512">
        <v>-0.18576912062150391</v>
      </c>
      <c r="L213" s="513">
        <v>-0.20005986587488311</v>
      </c>
      <c r="M213" s="514">
        <v>-0.10425277413182188</v>
      </c>
      <c r="P213" s="50">
        <v>74.069999999999993</v>
      </c>
      <c r="Q213" s="50" t="s">
        <v>250</v>
      </c>
      <c r="S213" s="349">
        <f>P213/S211*1000000</f>
        <v>266.6520746625809</v>
      </c>
    </row>
    <row r="214" spans="1:21" ht="13.75" thickBot="1" x14ac:dyDescent="0.75">
      <c r="A214" s="822"/>
      <c r="B214" s="502" t="s">
        <v>217</v>
      </c>
      <c r="C214" s="505">
        <v>38729.93548387097</v>
      </c>
      <c r="D214" s="506">
        <v>58926.419354838712</v>
      </c>
      <c r="E214" s="507">
        <v>50302.838709677417</v>
      </c>
      <c r="F214" s="508">
        <v>147959.19354838709</v>
      </c>
      <c r="G214" s="509">
        <v>1818305.4862810532</v>
      </c>
      <c r="H214" s="824"/>
      <c r="I214" s="519">
        <v>-0.1370558521572382</v>
      </c>
      <c r="J214" s="515">
        <v>-3.081752797638377E-2</v>
      </c>
      <c r="K214" s="516">
        <v>-7.8175940053191229E-2</v>
      </c>
      <c r="L214" s="517">
        <v>-7.6698257743490927E-2</v>
      </c>
      <c r="M214" s="518">
        <v>-0.10207222614065981</v>
      </c>
    </row>
    <row r="215" spans="1:21" ht="16.25" thickBot="1" x14ac:dyDescent="0.75">
      <c r="A215" s="826" t="s">
        <v>242</v>
      </c>
      <c r="B215" s="827"/>
      <c r="C215" s="538">
        <v>39100</v>
      </c>
      <c r="D215" s="538">
        <v>58900</v>
      </c>
      <c r="E215" s="538">
        <v>53600</v>
      </c>
      <c r="F215" s="538"/>
      <c r="G215" s="522"/>
      <c r="H215" s="825"/>
      <c r="I215" s="503"/>
      <c r="J215" s="503"/>
      <c r="K215" s="504"/>
      <c r="L215" s="539"/>
      <c r="M215" s="504">
        <v>-0.10207222614065981</v>
      </c>
    </row>
    <row r="216" spans="1:21" x14ac:dyDescent="0.6">
      <c r="A216" s="814" t="s">
        <v>466</v>
      </c>
      <c r="B216" s="540" t="s">
        <v>191</v>
      </c>
      <c r="C216" s="505">
        <v>38182.838709677417</v>
      </c>
      <c r="D216" s="506">
        <v>54011.193548387098</v>
      </c>
      <c r="E216" s="507">
        <v>51048.193548387098</v>
      </c>
      <c r="F216" s="520">
        <v>143242.22580645161</v>
      </c>
      <c r="G216" s="521">
        <v>143242.22580645161</v>
      </c>
      <c r="H216" s="816" t="s">
        <v>277</v>
      </c>
      <c r="I216" s="541">
        <v>-0.11883635908854386</v>
      </c>
      <c r="J216" s="542">
        <v>-6.3939160828214173E-2</v>
      </c>
      <c r="K216" s="543">
        <v>-1.8953335478315545E-2</v>
      </c>
      <c r="L216" s="544">
        <v>-6.4187483298504433E-2</v>
      </c>
      <c r="M216" s="545">
        <v>-6.4187483298504433E-2</v>
      </c>
    </row>
    <row r="217" spans="1:21" x14ac:dyDescent="0.6">
      <c r="A217" s="814"/>
      <c r="B217" s="546" t="s">
        <v>195</v>
      </c>
      <c r="C217" s="505">
        <v>42442.964285714283</v>
      </c>
      <c r="D217" s="506">
        <v>63244.714285714283</v>
      </c>
      <c r="E217" s="507">
        <v>56630.821428571428</v>
      </c>
      <c r="F217" s="508">
        <v>162318.5</v>
      </c>
      <c r="G217" s="509">
        <v>305560.72580645164</v>
      </c>
      <c r="H217" s="817"/>
      <c r="I217" s="569">
        <v>-6.2500455642409108E-2</v>
      </c>
      <c r="J217" s="511">
        <v>2.7520704394808332E-2</v>
      </c>
      <c r="K217" s="570">
        <v>-2.2285925017883909E-3</v>
      </c>
      <c r="L217" s="571">
        <v>-7.7155880955463996E-3</v>
      </c>
      <c r="M217" s="572">
        <v>-3.5014041031198095E-2</v>
      </c>
    </row>
    <row r="218" spans="1:21" x14ac:dyDescent="0.6">
      <c r="A218" s="814"/>
      <c r="B218" s="540" t="s">
        <v>15</v>
      </c>
      <c r="C218" s="505">
        <v>43826.612903225803</v>
      </c>
      <c r="D218" s="506">
        <v>64973.290322580644</v>
      </c>
      <c r="E218" s="507">
        <v>57674.258064516129</v>
      </c>
      <c r="F218" s="508">
        <v>166474.16129032258</v>
      </c>
      <c r="G218" s="509">
        <v>472034.88709677418</v>
      </c>
      <c r="H218" s="817"/>
      <c r="I218" s="510">
        <v>0.24766973083669283</v>
      </c>
      <c r="J218" s="511">
        <v>0.2531073038594151</v>
      </c>
      <c r="K218" s="512">
        <v>0.23966593747941578</v>
      </c>
      <c r="L218" s="513">
        <v>0.24699234049298324</v>
      </c>
      <c r="M218" s="514">
        <v>4.8620615917666976E-2</v>
      </c>
    </row>
    <row r="219" spans="1:21" x14ac:dyDescent="0.6">
      <c r="A219" s="814"/>
      <c r="B219" s="546" t="s">
        <v>16</v>
      </c>
      <c r="C219" s="505">
        <v>39560.366666666669</v>
      </c>
      <c r="D219" s="506">
        <v>60303</v>
      </c>
      <c r="E219" s="507">
        <v>54850</v>
      </c>
      <c r="F219" s="508">
        <v>154713.36666666667</v>
      </c>
      <c r="G219" s="509">
        <v>626748.25376344088</v>
      </c>
      <c r="H219" s="817"/>
      <c r="I219" s="510">
        <v>0.41220616495814472</v>
      </c>
      <c r="J219" s="511">
        <v>0.27960124261560393</v>
      </c>
      <c r="K219" s="512">
        <v>0.29342158941115709</v>
      </c>
      <c r="L219" s="513">
        <v>0.31618900213645995</v>
      </c>
      <c r="M219" s="514">
        <v>0.10402312265492086</v>
      </c>
    </row>
    <row r="220" spans="1:21" x14ac:dyDescent="0.6">
      <c r="A220" s="814"/>
      <c r="B220" s="540" t="s">
        <v>17</v>
      </c>
      <c r="C220" s="505">
        <v>44441.838709677417</v>
      </c>
      <c r="D220" s="506">
        <v>68296.290322580651</v>
      </c>
      <c r="E220" s="507">
        <v>61616.419354838712</v>
      </c>
      <c r="F220" s="508">
        <v>174354.54838709679</v>
      </c>
      <c r="G220" s="509">
        <v>801102.80215053773</v>
      </c>
      <c r="H220" s="817"/>
      <c r="I220" s="510">
        <v>0.11765727103470919</v>
      </c>
      <c r="J220" s="511">
        <v>7.3555175255118274E-2</v>
      </c>
      <c r="K220" s="512">
        <v>6.0870497319927552E-2</v>
      </c>
      <c r="L220" s="513">
        <v>7.9853339489473374E-2</v>
      </c>
      <c r="M220" s="514">
        <v>9.8671066070454172E-2</v>
      </c>
    </row>
    <row r="221" spans="1:21" x14ac:dyDescent="0.6">
      <c r="A221" s="814"/>
      <c r="B221" s="546" t="s">
        <v>18</v>
      </c>
      <c r="C221" s="547"/>
      <c r="D221" s="548"/>
      <c r="E221" s="549"/>
      <c r="F221" s="550"/>
      <c r="G221" s="551"/>
      <c r="H221" s="817"/>
      <c r="I221" s="552"/>
      <c r="J221" s="553"/>
      <c r="K221" s="554"/>
      <c r="L221" s="555"/>
      <c r="M221" s="556"/>
    </row>
    <row r="222" spans="1:21" x14ac:dyDescent="0.6">
      <c r="A222" s="814"/>
      <c r="B222" s="540" t="s">
        <v>19</v>
      </c>
      <c r="C222" s="547"/>
      <c r="D222" s="548"/>
      <c r="E222" s="549"/>
      <c r="F222" s="550"/>
      <c r="G222" s="551"/>
      <c r="H222" s="817"/>
      <c r="I222" s="552"/>
      <c r="J222" s="553"/>
      <c r="K222" s="554"/>
      <c r="L222" s="555"/>
      <c r="M222" s="556"/>
    </row>
    <row r="223" spans="1:21" x14ac:dyDescent="0.6">
      <c r="A223" s="814"/>
      <c r="B223" s="546" t="s">
        <v>20</v>
      </c>
      <c r="C223" s="547"/>
      <c r="D223" s="548"/>
      <c r="E223" s="549"/>
      <c r="F223" s="550"/>
      <c r="G223" s="551"/>
      <c r="H223" s="817"/>
      <c r="I223" s="552"/>
      <c r="J223" s="553"/>
      <c r="K223" s="554"/>
      <c r="L223" s="555"/>
      <c r="M223" s="556"/>
    </row>
    <row r="224" spans="1:21" x14ac:dyDescent="0.6">
      <c r="A224" s="814"/>
      <c r="B224" s="540" t="s">
        <v>211</v>
      </c>
      <c r="C224" s="547"/>
      <c r="D224" s="548"/>
      <c r="E224" s="549"/>
      <c r="F224" s="550"/>
      <c r="G224" s="551"/>
      <c r="H224" s="817"/>
      <c r="I224" s="552"/>
      <c r="J224" s="553"/>
      <c r="K224" s="554"/>
      <c r="L224" s="555"/>
      <c r="M224" s="556"/>
    </row>
    <row r="225" spans="1:13" x14ac:dyDescent="0.6">
      <c r="A225" s="814"/>
      <c r="B225" s="546" t="s">
        <v>213</v>
      </c>
      <c r="C225" s="547"/>
      <c r="D225" s="548"/>
      <c r="E225" s="549"/>
      <c r="F225" s="550"/>
      <c r="G225" s="551"/>
      <c r="H225" s="817"/>
      <c r="I225" s="552"/>
      <c r="J225" s="553"/>
      <c r="K225" s="554"/>
      <c r="L225" s="555"/>
      <c r="M225" s="556"/>
    </row>
    <row r="226" spans="1:13" x14ac:dyDescent="0.6">
      <c r="A226" s="814"/>
      <c r="B226" s="540" t="s">
        <v>216</v>
      </c>
      <c r="C226" s="547"/>
      <c r="D226" s="548"/>
      <c r="E226" s="549"/>
      <c r="F226" s="550"/>
      <c r="G226" s="551"/>
      <c r="H226" s="817"/>
      <c r="I226" s="552"/>
      <c r="J226" s="553"/>
      <c r="K226" s="554"/>
      <c r="L226" s="555"/>
      <c r="M226" s="556"/>
    </row>
    <row r="227" spans="1:13" ht="13.75" thickBot="1" x14ac:dyDescent="0.75">
      <c r="A227" s="815"/>
      <c r="B227" s="546" t="s">
        <v>217</v>
      </c>
      <c r="C227" s="547"/>
      <c r="D227" s="548"/>
      <c r="E227" s="549"/>
      <c r="F227" s="557"/>
      <c r="G227" s="551"/>
      <c r="H227" s="817"/>
      <c r="I227" s="558"/>
      <c r="J227" s="559"/>
      <c r="K227" s="560"/>
      <c r="L227" s="561"/>
      <c r="M227" s="562"/>
    </row>
    <row r="228" spans="1:13" ht="16.25" thickBot="1" x14ac:dyDescent="0.75">
      <c r="A228" s="819" t="s">
        <v>242</v>
      </c>
      <c r="B228" s="820"/>
      <c r="C228" s="563"/>
      <c r="D228" s="563"/>
      <c r="E228" s="563"/>
      <c r="F228" s="564"/>
      <c r="G228" s="522"/>
      <c r="H228" s="818"/>
      <c r="I228" s="565"/>
      <c r="J228" s="565"/>
      <c r="K228" s="566"/>
      <c r="L228" s="567"/>
      <c r="M228" s="568"/>
    </row>
  </sheetData>
  <mergeCells count="55">
    <mergeCell ref="A8:A19"/>
    <mergeCell ref="W12:AB12"/>
    <mergeCell ref="W19:AB19"/>
    <mergeCell ref="A1:M1"/>
    <mergeCell ref="A2:B4"/>
    <mergeCell ref="C2:M2"/>
    <mergeCell ref="G3:G5"/>
    <mergeCell ref="H3:M3"/>
    <mergeCell ref="I5:K5"/>
    <mergeCell ref="L5:M5"/>
    <mergeCell ref="W5:AB5"/>
    <mergeCell ref="A6:B6"/>
    <mergeCell ref="I6:K6"/>
    <mergeCell ref="L6:M6"/>
    <mergeCell ref="C7:E7"/>
    <mergeCell ref="A99:A110"/>
    <mergeCell ref="H99:H111"/>
    <mergeCell ref="A112:A123"/>
    <mergeCell ref="H112:H124"/>
    <mergeCell ref="A21:A32"/>
    <mergeCell ref="H21:H33"/>
    <mergeCell ref="A34:A45"/>
    <mergeCell ref="H34:H46"/>
    <mergeCell ref="A47:A58"/>
    <mergeCell ref="H47:H59"/>
    <mergeCell ref="A60:A71"/>
    <mergeCell ref="H60:H72"/>
    <mergeCell ref="A73:A84"/>
    <mergeCell ref="H73:H85"/>
    <mergeCell ref="A86:A97"/>
    <mergeCell ref="H86:H98"/>
    <mergeCell ref="Q112:Q124"/>
    <mergeCell ref="A138:A149"/>
    <mergeCell ref="H138:H150"/>
    <mergeCell ref="A150:B150"/>
    <mergeCell ref="A151:A162"/>
    <mergeCell ref="H151:H163"/>
    <mergeCell ref="A163:B163"/>
    <mergeCell ref="A125:A136"/>
    <mergeCell ref="H125:H137"/>
    <mergeCell ref="A190:A201"/>
    <mergeCell ref="H190:H202"/>
    <mergeCell ref="A202:B202"/>
    <mergeCell ref="A164:A175"/>
    <mergeCell ref="H164:H176"/>
    <mergeCell ref="A176:B176"/>
    <mergeCell ref="A177:A188"/>
    <mergeCell ref="H177:H189"/>
    <mergeCell ref="A189:B189"/>
    <mergeCell ref="A216:A227"/>
    <mergeCell ref="H216:H228"/>
    <mergeCell ref="A228:B228"/>
    <mergeCell ref="A203:A214"/>
    <mergeCell ref="H203:H215"/>
    <mergeCell ref="A215:B215"/>
  </mergeCells>
  <hyperlinks>
    <hyperlink ref="W34" r:id="rId1" xr:uid="{7CB3CBDC-E86F-4046-B47C-2CE70A62B08A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B392-BDE6-42AC-91FD-553DA0D6A4E0}">
  <dimension ref="A1:FJ231"/>
  <sheetViews>
    <sheetView topLeftCell="AZ1" zoomScale="77" zoomScaleNormal="77" workbookViewId="0">
      <selection activeCell="BJ30" sqref="BJ30"/>
    </sheetView>
  </sheetViews>
  <sheetFormatPr defaultColWidth="9.1328125" defaultRowHeight="13" outlineLevelCol="1" x14ac:dyDescent="0.6"/>
  <cols>
    <col min="1" max="13" width="9.1328125" style="50"/>
    <col min="14" max="16" width="10.26953125" style="50" bestFit="1" customWidth="1"/>
    <col min="17" max="17" width="11.7265625" style="50" customWidth="1"/>
    <col min="18" max="18" width="9.1328125" style="50"/>
    <col min="19" max="19" width="12.54296875" style="50" customWidth="1"/>
    <col min="20" max="20" width="13" style="50" customWidth="1"/>
    <col min="21" max="26" width="9.1328125" style="50"/>
    <col min="27" max="27" width="21" style="50" customWidth="1" outlineLevel="1"/>
    <col min="28" max="31" width="9.1328125" style="50" customWidth="1" outlineLevel="1"/>
    <col min="32" max="32" width="11.7265625" style="50" customWidth="1" outlineLevel="1"/>
    <col min="33" max="33" width="15.86328125" style="50" customWidth="1" outlineLevel="1"/>
    <col min="34" max="56" width="9.1328125" style="50" customWidth="1" outlineLevel="1"/>
    <col min="57" max="57" width="10.81640625" style="475" customWidth="1" outlineLevel="1"/>
    <col min="58" max="59" width="9.1328125" style="50" customWidth="1" outlineLevel="1"/>
    <col min="60" max="60" width="9.1328125" style="475" customWidth="1" outlineLevel="1"/>
    <col min="61" max="61" width="9.1328125" style="50" customWidth="1" outlineLevel="1"/>
    <col min="62" max="62" width="9.1328125" style="475" customWidth="1" outlineLevel="1"/>
    <col min="63" max="63" width="9.1328125" style="50"/>
    <col min="64" max="64" width="14.40625" style="50" customWidth="1"/>
    <col min="65" max="68" width="9.1328125" style="50"/>
    <col min="69" max="69" width="13" style="50" hidden="1" customWidth="1" outlineLevel="1"/>
    <col min="70" max="70" width="13.26953125" style="50" hidden="1" customWidth="1" outlineLevel="1"/>
    <col min="71" max="71" width="12" style="50" hidden="1" customWidth="1" outlineLevel="1"/>
    <col min="72" max="72" width="11.7265625" style="50" hidden="1" customWidth="1" outlineLevel="1"/>
    <col min="73" max="73" width="12.1328125" style="50" hidden="1" customWidth="1" outlineLevel="1"/>
    <col min="74" max="74" width="14.26953125" style="50" hidden="1" customWidth="1" outlineLevel="1"/>
    <col min="75" max="75" width="9.1328125" style="50" hidden="1" customWidth="1" outlineLevel="1"/>
    <col min="76" max="76" width="11.1328125" style="50" hidden="1" customWidth="1" outlineLevel="1"/>
    <col min="77" max="104" width="9.1328125" style="50" hidden="1" customWidth="1" outlineLevel="1"/>
    <col min="105" max="105" width="9.1328125" style="50" collapsed="1"/>
    <col min="106" max="110" width="9.1328125" style="50"/>
    <col min="111" max="146" width="9.1328125" style="50" hidden="1" customWidth="1" outlineLevel="1"/>
    <col min="147" max="147" width="9.1328125" style="50" collapsed="1"/>
    <col min="148" max="16384" width="9.1328125" style="50"/>
  </cols>
  <sheetData>
    <row r="1" spans="1:166" ht="14.25" x14ac:dyDescent="0.65">
      <c r="A1" s="430"/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166" ht="14.25" x14ac:dyDescent="0.65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</row>
    <row r="3" spans="1:166" ht="14.25" x14ac:dyDescent="0.65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</row>
    <row r="4" spans="1:166" ht="17.5" thickBot="1" x14ac:dyDescent="0.9">
      <c r="A4" s="901" t="s">
        <v>141</v>
      </c>
      <c r="B4" s="901"/>
      <c r="C4" s="901"/>
      <c r="D4" s="901"/>
      <c r="E4" s="901"/>
      <c r="F4" s="901"/>
      <c r="G4" s="901"/>
      <c r="H4" s="901"/>
      <c r="I4" s="901"/>
      <c r="J4" s="901"/>
      <c r="K4" s="901"/>
      <c r="L4" s="901"/>
      <c r="M4" s="901"/>
    </row>
    <row r="5" spans="1:166" ht="25.25" x14ac:dyDescent="1.05">
      <c r="A5" s="902"/>
      <c r="B5" s="903"/>
      <c r="C5" s="908" t="s">
        <v>142</v>
      </c>
      <c r="D5" s="909"/>
      <c r="E5" s="909"/>
      <c r="F5" s="909"/>
      <c r="G5" s="909"/>
      <c r="H5" s="909"/>
      <c r="I5" s="909"/>
      <c r="J5" s="909"/>
      <c r="K5" s="909"/>
      <c r="L5" s="909"/>
      <c r="M5" s="910"/>
    </row>
    <row r="6" spans="1:166" ht="124.5" customHeight="1" thickBot="1" x14ac:dyDescent="1.2">
      <c r="A6" s="904"/>
      <c r="B6" s="905"/>
      <c r="C6" s="353" t="s">
        <v>143</v>
      </c>
      <c r="D6" s="354" t="s">
        <v>144</v>
      </c>
      <c r="E6" s="355" t="s">
        <v>145</v>
      </c>
      <c r="F6" s="357" t="s">
        <v>146</v>
      </c>
      <c r="G6" s="911" t="s">
        <v>147</v>
      </c>
      <c r="H6" s="914" t="s">
        <v>148</v>
      </c>
      <c r="I6" s="915"/>
      <c r="J6" s="915"/>
      <c r="K6" s="915"/>
      <c r="L6" s="915"/>
      <c r="M6" s="916"/>
    </row>
    <row r="7" spans="1:166" ht="25.25" x14ac:dyDescent="1.05">
      <c r="A7" s="906"/>
      <c r="B7" s="907"/>
      <c r="C7" s="359"/>
      <c r="D7" s="360"/>
      <c r="E7" s="361"/>
      <c r="F7" s="363" t="s">
        <v>149</v>
      </c>
      <c r="G7" s="912"/>
      <c r="H7" s="466"/>
      <c r="I7" s="467"/>
      <c r="J7" s="467"/>
      <c r="K7" s="467"/>
      <c r="L7" s="467"/>
      <c r="M7" s="573"/>
      <c r="AA7" s="715">
        <v>2020</v>
      </c>
      <c r="AB7" s="716" t="s">
        <v>10</v>
      </c>
      <c r="AC7" s="716" t="s">
        <v>150</v>
      </c>
      <c r="AD7" s="716" t="s">
        <v>151</v>
      </c>
      <c r="AE7" s="716" t="s">
        <v>152</v>
      </c>
      <c r="AF7" s="717" t="s">
        <v>153</v>
      </c>
      <c r="BL7" s="737">
        <v>2020</v>
      </c>
      <c r="BQ7" s="141">
        <v>2019</v>
      </c>
      <c r="BR7" s="142" t="s">
        <v>10</v>
      </c>
      <c r="BS7" s="142" t="s">
        <v>150</v>
      </c>
      <c r="BT7" s="142" t="s">
        <v>151</v>
      </c>
      <c r="BU7" s="142" t="s">
        <v>152</v>
      </c>
      <c r="BV7" s="143" t="s">
        <v>153</v>
      </c>
      <c r="DB7" s="737">
        <v>2019</v>
      </c>
      <c r="DG7" s="715">
        <v>2018</v>
      </c>
      <c r="DH7" s="716" t="s">
        <v>10</v>
      </c>
      <c r="DI7" s="716" t="s">
        <v>150</v>
      </c>
      <c r="DJ7" s="716" t="s">
        <v>151</v>
      </c>
      <c r="DK7" s="716" t="s">
        <v>152</v>
      </c>
      <c r="DL7" s="717" t="s">
        <v>153</v>
      </c>
      <c r="ER7" s="737">
        <v>2018</v>
      </c>
      <c r="EW7" s="737">
        <v>2017</v>
      </c>
      <c r="FB7" s="737">
        <v>2016</v>
      </c>
      <c r="FG7" s="737">
        <v>2015</v>
      </c>
    </row>
    <row r="8" spans="1:166" ht="15" thickBot="1" x14ac:dyDescent="0.8">
      <c r="A8" s="368" t="s">
        <v>155</v>
      </c>
      <c r="B8" s="369"/>
      <c r="C8" s="370">
        <v>1.01</v>
      </c>
      <c r="D8" s="371">
        <v>1.66</v>
      </c>
      <c r="E8" s="372">
        <v>0.6</v>
      </c>
      <c r="F8" s="373">
        <v>3.27</v>
      </c>
      <c r="G8" s="913"/>
      <c r="H8" s="374"/>
      <c r="I8" s="917" t="s">
        <v>156</v>
      </c>
      <c r="J8" s="918"/>
      <c r="K8" s="918"/>
      <c r="L8" s="919" t="s">
        <v>157</v>
      </c>
      <c r="M8" s="920"/>
      <c r="AA8" s="728" t="s">
        <v>158</v>
      </c>
      <c r="AB8" s="729"/>
      <c r="AC8" s="729"/>
      <c r="AD8" s="729"/>
      <c r="AE8" s="729"/>
      <c r="AF8" s="730"/>
      <c r="AL8" s="189"/>
      <c r="AY8" s="50" t="s">
        <v>159</v>
      </c>
      <c r="BC8" s="50">
        <v>28</v>
      </c>
      <c r="BD8" s="50">
        <v>265</v>
      </c>
      <c r="BI8" s="50" t="s">
        <v>473</v>
      </c>
      <c r="BQ8" s="872" t="s">
        <v>158</v>
      </c>
      <c r="BR8" s="873"/>
      <c r="BS8" s="873"/>
      <c r="BT8" s="873"/>
      <c r="BU8" s="873"/>
      <c r="BV8" s="874"/>
      <c r="CB8" s="189"/>
      <c r="CO8" s="50" t="s">
        <v>159</v>
      </c>
      <c r="CS8" s="50">
        <v>28</v>
      </c>
      <c r="CT8" s="50">
        <v>265</v>
      </c>
      <c r="CU8" s="475"/>
      <c r="CX8" s="475"/>
      <c r="CY8" s="50" t="s">
        <v>473</v>
      </c>
      <c r="CZ8" s="475"/>
      <c r="DG8" s="929" t="s">
        <v>158</v>
      </c>
      <c r="DH8" s="930"/>
      <c r="DI8" s="930"/>
      <c r="DJ8" s="930"/>
      <c r="DK8" s="930"/>
      <c r="DL8" s="931"/>
      <c r="DR8" s="189"/>
      <c r="EE8" s="50" t="s">
        <v>159</v>
      </c>
      <c r="EI8" s="50">
        <v>28</v>
      </c>
      <c r="EJ8" s="50">
        <v>265</v>
      </c>
      <c r="EK8" s="475"/>
      <c r="EN8" s="475"/>
      <c r="EO8" s="50" t="s">
        <v>473</v>
      </c>
      <c r="EP8" s="475"/>
    </row>
    <row r="9" spans="1:166" ht="39" customHeight="1" thickBot="1" x14ac:dyDescent="0.8">
      <c r="A9" s="921" t="s">
        <v>160</v>
      </c>
      <c r="B9" s="922"/>
      <c r="C9" s="377" t="s">
        <v>161</v>
      </c>
      <c r="D9" s="474" t="s">
        <v>162</v>
      </c>
      <c r="E9" s="379" t="s">
        <v>163</v>
      </c>
      <c r="F9" s="436"/>
      <c r="G9" s="380" t="s">
        <v>164</v>
      </c>
      <c r="H9" s="381"/>
      <c r="I9" s="923" t="s">
        <v>165</v>
      </c>
      <c r="J9" s="924"/>
      <c r="K9" s="924"/>
      <c r="L9" s="925" t="s">
        <v>166</v>
      </c>
      <c r="M9" s="926"/>
      <c r="AA9" s="718" t="s">
        <v>169</v>
      </c>
      <c r="AB9" s="709">
        <v>156335</v>
      </c>
      <c r="AC9" s="709">
        <v>82309</v>
      </c>
      <c r="AD9" s="710">
        <v>0.53</v>
      </c>
      <c r="AE9" s="711">
        <v>30.22</v>
      </c>
      <c r="AF9" s="719">
        <v>11029</v>
      </c>
      <c r="AH9" s="162">
        <f t="shared" ref="AH9:AI14" si="0">AB9/AB30</f>
        <v>0.57984533501474322</v>
      </c>
      <c r="AI9" s="162">
        <f t="shared" si="0"/>
        <v>0.62281226117420951</v>
      </c>
      <c r="AK9" s="76">
        <f>AF9*AB9/1000000</f>
        <v>1724.218715</v>
      </c>
      <c r="AL9" s="162">
        <f>AK9/$AK$36</f>
        <v>0.41374882664474832</v>
      </c>
      <c r="AR9" s="50" t="s">
        <v>170</v>
      </c>
      <c r="AS9" s="50" t="s">
        <v>171</v>
      </c>
      <c r="AT9" s="50" t="s">
        <v>172</v>
      </c>
      <c r="AU9" s="50" t="s">
        <v>173</v>
      </c>
      <c r="AV9" s="50" t="s">
        <v>174</v>
      </c>
      <c r="AW9" s="50" t="s">
        <v>175</v>
      </c>
      <c r="AX9" s="50" t="s">
        <v>176</v>
      </c>
      <c r="AY9" s="50" t="s">
        <v>177</v>
      </c>
      <c r="AZ9" s="50" t="s">
        <v>178</v>
      </c>
      <c r="BA9" s="50" t="s">
        <v>179</v>
      </c>
      <c r="BB9" s="50" t="s">
        <v>176</v>
      </c>
      <c r="BC9" s="50" t="s">
        <v>177</v>
      </c>
      <c r="BD9" s="50" t="s">
        <v>178</v>
      </c>
      <c r="BF9" s="50" t="s">
        <v>180</v>
      </c>
      <c r="BG9" s="50" t="s">
        <v>181</v>
      </c>
      <c r="BH9" s="475" t="s">
        <v>182</v>
      </c>
      <c r="BI9" s="50" t="s">
        <v>474</v>
      </c>
      <c r="BJ9" s="475" t="s">
        <v>23</v>
      </c>
      <c r="BL9" s="475" t="s">
        <v>488</v>
      </c>
      <c r="BM9" s="76">
        <f>IF($O$15=2012,VLOOKUP(BL7,$O$18:$R$26,4),VLOOKUP(BL7,$O$18:$X$26,10))</f>
        <v>1214.7848904384769</v>
      </c>
      <c r="BN9" s="129" t="s">
        <v>489</v>
      </c>
      <c r="BQ9" s="157" t="s">
        <v>169</v>
      </c>
      <c r="BR9" s="158">
        <v>163424</v>
      </c>
      <c r="BS9" s="158">
        <v>84654</v>
      </c>
      <c r="BT9" s="159">
        <v>0.52</v>
      </c>
      <c r="BU9" s="160">
        <v>30.85</v>
      </c>
      <c r="BV9" s="161">
        <v>11261</v>
      </c>
      <c r="BX9" s="162">
        <f>BR9/BR23</f>
        <v>0.60566663578245161</v>
      </c>
      <c r="BY9" s="162">
        <f>BS9/BS23</f>
        <v>0.67010211351222992</v>
      </c>
      <c r="CA9" s="76">
        <f t="shared" ref="CA9:CA22" si="1">BV9*BR9/1000000</f>
        <v>1840.3176639999999</v>
      </c>
      <c r="CB9" s="162">
        <f>CA9/$CA$36</f>
        <v>0.43324749774321492</v>
      </c>
      <c r="CH9" s="50" t="s">
        <v>170</v>
      </c>
      <c r="CI9" s="50" t="s">
        <v>171</v>
      </c>
      <c r="CJ9" s="50" t="s">
        <v>172</v>
      </c>
      <c r="CK9" s="50" t="s">
        <v>173</v>
      </c>
      <c r="CL9" s="50" t="s">
        <v>174</v>
      </c>
      <c r="CM9" s="50" t="s">
        <v>175</v>
      </c>
      <c r="CN9" s="50" t="s">
        <v>176</v>
      </c>
      <c r="CO9" s="50" t="s">
        <v>177</v>
      </c>
      <c r="CP9" s="50" t="s">
        <v>178</v>
      </c>
      <c r="CQ9" s="50" t="s">
        <v>179</v>
      </c>
      <c r="CR9" s="50" t="s">
        <v>176</v>
      </c>
      <c r="CS9" s="50" t="s">
        <v>177</v>
      </c>
      <c r="CT9" s="50" t="s">
        <v>178</v>
      </c>
      <c r="CU9" s="475"/>
      <c r="CV9" s="50" t="s">
        <v>180</v>
      </c>
      <c r="CW9" s="50" t="s">
        <v>181</v>
      </c>
      <c r="CX9" s="475" t="s">
        <v>182</v>
      </c>
      <c r="CY9" s="50" t="s">
        <v>474</v>
      </c>
      <c r="CZ9" s="475" t="s">
        <v>23</v>
      </c>
      <c r="DB9" s="475" t="s">
        <v>488</v>
      </c>
      <c r="DC9" s="121">
        <f>X25</f>
        <v>1352.8759503865979</v>
      </c>
      <c r="DD9" s="129" t="s">
        <v>489</v>
      </c>
      <c r="DG9" s="718" t="s">
        <v>169</v>
      </c>
      <c r="DH9" s="709">
        <v>167978</v>
      </c>
      <c r="DI9" s="709">
        <v>97278</v>
      </c>
      <c r="DJ9" s="710">
        <v>0.54</v>
      </c>
      <c r="DK9" s="711">
        <v>31.07</v>
      </c>
      <c r="DL9" s="719">
        <v>11339</v>
      </c>
      <c r="DN9" s="162">
        <f t="shared" ref="DN9:DO14" si="2">DH9/DH23</f>
        <v>0.62822991738442613</v>
      </c>
      <c r="DO9" s="162">
        <f t="shared" si="2"/>
        <v>0.74363600226275473</v>
      </c>
      <c r="DQ9" s="76">
        <f t="shared" ref="DQ9:DQ22" si="3">DL9*DH9/1000000</f>
        <v>1904.702542</v>
      </c>
      <c r="DR9" s="162">
        <f>DQ9/$CA$36</f>
        <v>0.44840498268816309</v>
      </c>
      <c r="DX9" s="50" t="s">
        <v>170</v>
      </c>
      <c r="DY9" s="50" t="s">
        <v>171</v>
      </c>
      <c r="DZ9" s="50" t="s">
        <v>172</v>
      </c>
      <c r="EA9" s="50" t="s">
        <v>173</v>
      </c>
      <c r="EB9" s="50" t="s">
        <v>174</v>
      </c>
      <c r="EC9" s="50" t="s">
        <v>175</v>
      </c>
      <c r="ED9" s="50" t="s">
        <v>176</v>
      </c>
      <c r="EE9" s="50" t="s">
        <v>177</v>
      </c>
      <c r="EF9" s="50" t="s">
        <v>178</v>
      </c>
      <c r="EG9" s="50" t="s">
        <v>179</v>
      </c>
      <c r="EH9" s="50" t="s">
        <v>176</v>
      </c>
      <c r="EI9" s="50" t="s">
        <v>177</v>
      </c>
      <c r="EJ9" s="50" t="s">
        <v>178</v>
      </c>
      <c r="EK9" s="475"/>
      <c r="EL9" s="50" t="s">
        <v>180</v>
      </c>
      <c r="EM9" s="50" t="s">
        <v>181</v>
      </c>
      <c r="EN9" s="475" t="s">
        <v>182</v>
      </c>
      <c r="EO9" s="50" t="s">
        <v>474</v>
      </c>
      <c r="EP9" s="475" t="s">
        <v>23</v>
      </c>
      <c r="ER9" s="475" t="s">
        <v>488</v>
      </c>
      <c r="ES9" s="121">
        <f>X24</f>
        <v>1338.0409232983668</v>
      </c>
      <c r="ET9" s="129" t="s">
        <v>489</v>
      </c>
      <c r="EW9" s="475" t="s">
        <v>488</v>
      </c>
      <c r="EX9" s="76">
        <f>ES9/(1+P24)</f>
        <v>1301.5424339599781</v>
      </c>
      <c r="EY9" s="129" t="s">
        <v>489</v>
      </c>
      <c r="FB9" s="475" t="s">
        <v>488</v>
      </c>
      <c r="FC9" s="76">
        <f>EX9/(1+P23)</f>
        <v>1205.1014318343243</v>
      </c>
      <c r="FD9" s="129" t="s">
        <v>489</v>
      </c>
      <c r="FG9" s="475" t="s">
        <v>488</v>
      </c>
      <c r="FH9" s="76">
        <f>FC9/(1+U23)</f>
        <v>1.0623724760790705</v>
      </c>
      <c r="FI9" s="129" t="s">
        <v>489</v>
      </c>
    </row>
    <row r="10" spans="1:166" ht="39" customHeight="1" thickBot="1" x14ac:dyDescent="0.8">
      <c r="A10" s="382"/>
      <c r="B10" s="383" t="s">
        <v>183</v>
      </c>
      <c r="C10" s="927" t="s">
        <v>184</v>
      </c>
      <c r="D10" s="928"/>
      <c r="E10" s="928"/>
      <c r="F10" s="384" t="s">
        <v>185</v>
      </c>
      <c r="G10" s="385" t="s">
        <v>186</v>
      </c>
      <c r="H10" s="387"/>
      <c r="I10" s="575" t="s">
        <v>161</v>
      </c>
      <c r="J10" s="576" t="s">
        <v>162</v>
      </c>
      <c r="K10" s="577" t="s">
        <v>163</v>
      </c>
      <c r="L10" s="578" t="s">
        <v>187</v>
      </c>
      <c r="M10" s="579" t="s">
        <v>188</v>
      </c>
      <c r="P10" s="129" t="s">
        <v>478</v>
      </c>
      <c r="Q10" s="126" t="s">
        <v>479</v>
      </c>
      <c r="AA10" s="720" t="s">
        <v>190</v>
      </c>
      <c r="AB10" s="712">
        <v>95</v>
      </c>
      <c r="AC10" s="712">
        <v>49</v>
      </c>
      <c r="AD10" s="713">
        <v>0.52</v>
      </c>
      <c r="AE10" s="712">
        <v>17.82</v>
      </c>
      <c r="AF10" s="721">
        <v>6503</v>
      </c>
      <c r="AH10" s="162">
        <f t="shared" si="0"/>
        <v>7.0058997050147495E-2</v>
      </c>
      <c r="AI10" s="162">
        <f t="shared" si="0"/>
        <v>8.0592105263157895E-2</v>
      </c>
      <c r="AK10" s="76">
        <f>AF10*AB10/1000000</f>
        <v>0.61778500000000003</v>
      </c>
      <c r="AL10" s="162">
        <f t="shared" ref="AL10:AL35" si="4">AK10/$AK$36</f>
        <v>1.4824558894126482E-4</v>
      </c>
      <c r="BQ10" s="175" t="s">
        <v>190</v>
      </c>
      <c r="BR10" s="176">
        <v>95</v>
      </c>
      <c r="BS10" s="176">
        <v>65</v>
      </c>
      <c r="BT10" s="177">
        <v>0.68</v>
      </c>
      <c r="BU10" s="176">
        <v>24.99</v>
      </c>
      <c r="BV10" s="178">
        <v>9123</v>
      </c>
      <c r="BX10" s="162">
        <f t="shared" ref="BX10:BY14" si="5">BR10/BR24</f>
        <v>6.8542568542568544E-2</v>
      </c>
      <c r="BY10" s="162">
        <f t="shared" si="5"/>
        <v>8.5638998682476944E-2</v>
      </c>
      <c r="CA10" s="76">
        <f t="shared" si="1"/>
        <v>0.86668500000000004</v>
      </c>
      <c r="CB10" s="162">
        <f t="shared" ref="CB10:CB34" si="6">CA10/$CA$36</f>
        <v>2.0403494186185144E-4</v>
      </c>
      <c r="CU10" s="475"/>
      <c r="CX10" s="475"/>
      <c r="CZ10" s="475"/>
      <c r="DG10" s="720" t="s">
        <v>190</v>
      </c>
      <c r="DH10" s="712">
        <v>98</v>
      </c>
      <c r="DI10" s="712">
        <v>67</v>
      </c>
      <c r="DJ10" s="713">
        <v>0.68</v>
      </c>
      <c r="DK10" s="712">
        <v>19.28</v>
      </c>
      <c r="DL10" s="721">
        <v>7037</v>
      </c>
      <c r="DN10" s="162">
        <f t="shared" si="2"/>
        <v>6.7679558011049717E-2</v>
      </c>
      <c r="DO10" s="162">
        <f t="shared" si="2"/>
        <v>8.6451612903225811E-2</v>
      </c>
      <c r="DQ10" s="76">
        <f t="shared" si="3"/>
        <v>0.68962599999999996</v>
      </c>
      <c r="DR10" s="162">
        <f t="shared" ref="DR10:DR34" si="7">DQ10/$CA$36</f>
        <v>1.6235172042486156E-4</v>
      </c>
      <c r="EK10" s="475"/>
      <c r="EN10" s="475"/>
      <c r="EP10" s="475"/>
    </row>
    <row r="11" spans="1:166" ht="16.5" customHeight="1" thickBot="1" x14ac:dyDescent="0.8">
      <c r="A11" s="897">
        <v>2005</v>
      </c>
      <c r="B11" s="388" t="s">
        <v>191</v>
      </c>
      <c r="C11" s="389">
        <v>36964</v>
      </c>
      <c r="D11" s="390">
        <v>35212</v>
      </c>
      <c r="E11" s="391">
        <v>32382</v>
      </c>
      <c r="F11" s="392">
        <v>104558</v>
      </c>
      <c r="G11" s="438">
        <v>104558</v>
      </c>
      <c r="H11" s="393"/>
      <c r="I11" s="394"/>
      <c r="J11" s="394"/>
      <c r="K11" s="394"/>
      <c r="L11" s="395"/>
      <c r="M11" s="580"/>
      <c r="O11" s="129" t="s">
        <v>158</v>
      </c>
      <c r="P11" s="50">
        <v>0.75</v>
      </c>
      <c r="Q11" s="50">
        <v>44.3</v>
      </c>
      <c r="AA11" s="718" t="s">
        <v>193</v>
      </c>
      <c r="AB11" s="711">
        <v>6</v>
      </c>
      <c r="AC11" s="711">
        <v>5</v>
      </c>
      <c r="AD11" s="710">
        <v>0.83</v>
      </c>
      <c r="AE11" s="711">
        <v>23.05</v>
      </c>
      <c r="AF11" s="719">
        <v>8412</v>
      </c>
      <c r="AH11" s="162">
        <f t="shared" si="0"/>
        <v>3.4305317324185248E-3</v>
      </c>
      <c r="AI11" s="162">
        <f t="shared" si="0"/>
        <v>6.2893081761006293E-3</v>
      </c>
      <c r="AK11" s="76">
        <f>AF11*AB11/1000000</f>
        <v>5.0472000000000003E-2</v>
      </c>
      <c r="AL11" s="162">
        <f t="shared" si="4"/>
        <v>1.2111416374699157E-5</v>
      </c>
      <c r="AN11" s="50" t="s">
        <v>194</v>
      </c>
      <c r="AO11" s="50" t="s">
        <v>158</v>
      </c>
      <c r="AP11" s="255">
        <f>AL9</f>
        <v>0.41374882664474832</v>
      </c>
      <c r="AQ11" s="76">
        <f t="shared" ref="AQ11:AQ28" si="8">AP11*$BM$9</f>
        <v>502.61582304468897</v>
      </c>
      <c r="AR11" s="50">
        <v>8</v>
      </c>
      <c r="AS11" s="50">
        <f t="shared" ref="AS11:AS17" si="9">AR11/100</f>
        <v>0.08</v>
      </c>
      <c r="AT11" s="50">
        <v>0.75</v>
      </c>
      <c r="AU11" s="50">
        <f t="shared" ref="AU11:AU17" si="10">AT11*AS11</f>
        <v>0.06</v>
      </c>
      <c r="AV11" s="50">
        <v>44.3</v>
      </c>
      <c r="AW11" s="50">
        <f t="shared" ref="AW11:AW17" si="11">AV11*AU11</f>
        <v>2.6579999999999999</v>
      </c>
      <c r="AX11" s="50">
        <v>72.416541095973002</v>
      </c>
      <c r="AY11" s="50">
        <f>7.87852632644844/1000</f>
        <v>7.8785263264484397E-3</v>
      </c>
      <c r="AZ11" s="50">
        <f>0.93521034397128/1000</f>
        <v>9.3521034397127997E-4</v>
      </c>
      <c r="BA11" s="76">
        <f t="shared" ref="BA11:BA28" si="12">AW11*AQ11</f>
        <v>1335.9528576527832</v>
      </c>
      <c r="BB11" s="76">
        <f t="shared" ref="BB11:BB28" si="13">$BA11*AX11</f>
        <v>96745.085018495345</v>
      </c>
      <c r="BC11" s="76">
        <f t="shared" ref="BC11:BC28" si="14">$BA11*AY11</f>
        <v>10.525339759911478</v>
      </c>
      <c r="BD11" s="76">
        <f t="shared" ref="BD11:BD28" si="15">$BA11*AZ11</f>
        <v>1.2493969315348739</v>
      </c>
      <c r="BE11" s="738">
        <f>BB11+BC11*$BC$8+BD11*$BD$8</f>
        <v>97370.884718629619</v>
      </c>
      <c r="BF11" s="50">
        <v>2.34</v>
      </c>
      <c r="BG11" s="50">
        <f t="shared" ref="BG11:BG28" si="16">BF11*AS11*AQ11*1000000</f>
        <v>94089682.073965773</v>
      </c>
      <c r="BH11" s="738">
        <f t="shared" ref="BH11:BH17" si="17">BG11/1000</f>
        <v>94089.682073965771</v>
      </c>
      <c r="BI11" s="50">
        <v>211</v>
      </c>
      <c r="BJ11" s="738">
        <f t="shared" ref="BJ11:BJ28" si="18">BI11/10^6*AQ11*10^6</f>
        <v>106051.93866242937</v>
      </c>
      <c r="BM11" s="129" t="s">
        <v>475</v>
      </c>
      <c r="BN11" s="129" t="s">
        <v>476</v>
      </c>
      <c r="BO11" s="129" t="s">
        <v>477</v>
      </c>
      <c r="BQ11" s="157" t="s">
        <v>193</v>
      </c>
      <c r="BR11" s="160">
        <v>6</v>
      </c>
      <c r="BS11" s="160">
        <v>4</v>
      </c>
      <c r="BT11" s="159">
        <v>0.67</v>
      </c>
      <c r="BU11" s="160">
        <v>80.099999999999994</v>
      </c>
      <c r="BV11" s="161">
        <v>29237</v>
      </c>
      <c r="BX11" s="162">
        <f t="shared" si="5"/>
        <v>3.3482142857142855E-3</v>
      </c>
      <c r="BY11" s="162">
        <f t="shared" si="5"/>
        <v>4.048582995951417E-3</v>
      </c>
      <c r="CA11" s="76">
        <f t="shared" si="1"/>
        <v>0.17542199999999999</v>
      </c>
      <c r="CB11" s="162">
        <f t="shared" si="6"/>
        <v>4.12978389741252E-5</v>
      </c>
      <c r="CD11" s="50" t="s">
        <v>194</v>
      </c>
      <c r="CE11" s="50" t="s">
        <v>158</v>
      </c>
      <c r="CF11" s="189">
        <f>CB9</f>
        <v>0.43324749774321492</v>
      </c>
      <c r="CG11" s="76">
        <f t="shared" ref="CG11:CG28" si="19">CF11*DC$9</f>
        <v>586.13012026196725</v>
      </c>
      <c r="CH11" s="50">
        <v>8</v>
      </c>
      <c r="CI11" s="50">
        <f>CH11/100</f>
        <v>0.08</v>
      </c>
      <c r="CJ11" s="50">
        <v>0.75</v>
      </c>
      <c r="CK11" s="50">
        <f>CJ11*CI11</f>
        <v>0.06</v>
      </c>
      <c r="CL11" s="50">
        <v>44.3</v>
      </c>
      <c r="CM11" s="50">
        <f>CL11*CK11</f>
        <v>2.6579999999999999</v>
      </c>
      <c r="CN11" s="50">
        <v>72.416541095972974</v>
      </c>
      <c r="CO11" s="50">
        <f>7.87852632644844/1000</f>
        <v>7.8785263264484397E-3</v>
      </c>
      <c r="CP11" s="50">
        <f>0.93521034397128/1000</f>
        <v>9.3521034397127997E-4</v>
      </c>
      <c r="CQ11" s="76">
        <f t="shared" ref="CQ11:CQ28" si="20">CM11*CG11</f>
        <v>1557.9338596563089</v>
      </c>
      <c r="CR11" s="76">
        <f>$CQ11*CN11</f>
        <v>112820.18137260889</v>
      </c>
      <c r="CS11" s="76">
        <f t="shared" ref="CS11:CT26" si="21">$CQ11*CO11</f>
        <v>12.274222928167658</v>
      </c>
      <c r="CT11" s="76">
        <f t="shared" si="21"/>
        <v>1.4569958607736804</v>
      </c>
      <c r="CU11" s="738">
        <f t="shared" ref="CU11:CU28" si="22">CR11+CS11*$BC$8+CT11*$BD$8</f>
        <v>113549.96351770261</v>
      </c>
      <c r="CV11" s="50">
        <v>2.34</v>
      </c>
      <c r="CW11" s="50">
        <f t="shared" ref="CW11:CW28" si="23">CV11*CI11*CG11*1000000</f>
        <v>109723558.51304027</v>
      </c>
      <c r="CX11" s="475">
        <f>CW11/1000</f>
        <v>109723.55851304028</v>
      </c>
      <c r="CY11" s="50">
        <v>211</v>
      </c>
      <c r="CZ11" s="475">
        <f t="shared" ref="CZ11:CZ28" si="24">CY11/10^6*CG11*10^6</f>
        <v>123673.45537527509</v>
      </c>
      <c r="DC11" s="129" t="s">
        <v>475</v>
      </c>
      <c r="DD11" s="129" t="s">
        <v>476</v>
      </c>
      <c r="DE11" s="129" t="s">
        <v>477</v>
      </c>
      <c r="DG11" s="718" t="s">
        <v>193</v>
      </c>
      <c r="DH11" s="711">
        <v>6</v>
      </c>
      <c r="DI11" s="711">
        <v>4</v>
      </c>
      <c r="DJ11" s="710">
        <v>0.67</v>
      </c>
      <c r="DK11" s="711">
        <v>87.43</v>
      </c>
      <c r="DL11" s="719">
        <v>31911</v>
      </c>
      <c r="DN11" s="162">
        <f t="shared" si="2"/>
        <v>3.4285714285714284E-3</v>
      </c>
      <c r="DO11" s="162">
        <f t="shared" si="2"/>
        <v>4.206098843322818E-3</v>
      </c>
      <c r="DQ11" s="76">
        <f t="shared" si="3"/>
        <v>0.191466</v>
      </c>
      <c r="DR11" s="162">
        <f t="shared" si="7"/>
        <v>4.5074916698132824E-5</v>
      </c>
      <c r="DT11" s="50" t="s">
        <v>194</v>
      </c>
      <c r="DU11" s="50" t="s">
        <v>158</v>
      </c>
      <c r="DV11" s="189">
        <f>DR9</f>
        <v>0.44840498268816309</v>
      </c>
      <c r="DW11" s="76">
        <f t="shared" ref="DW11:DW28" si="25">DV11*ES$9</f>
        <v>599.98421704765792</v>
      </c>
      <c r="DX11" s="50">
        <v>8</v>
      </c>
      <c r="DY11" s="50">
        <f>DX11/100</f>
        <v>0.08</v>
      </c>
      <c r="DZ11" s="50">
        <v>0.75</v>
      </c>
      <c r="EA11" s="50">
        <f>DZ11*DY11</f>
        <v>0.06</v>
      </c>
      <c r="EB11" s="50">
        <v>44.3</v>
      </c>
      <c r="EC11" s="50">
        <f>EB11*EA11</f>
        <v>2.6579999999999999</v>
      </c>
      <c r="ED11" s="50">
        <v>72.416541095972974</v>
      </c>
      <c r="EE11" s="50">
        <f>7.87852632644844/1000</f>
        <v>7.8785263264484397E-3</v>
      </c>
      <c r="EF11" s="50">
        <f>0.93521034397128/1000</f>
        <v>9.3521034397127997E-4</v>
      </c>
      <c r="EG11" s="76">
        <f t="shared" ref="EG11:EG28" si="26">EC11*DW11</f>
        <v>1594.7580489126747</v>
      </c>
      <c r="EH11" s="76">
        <f>$EG11*ED11</f>
        <v>115486.86178721838</v>
      </c>
      <c r="EI11" s="76">
        <f t="shared" ref="EI11:EJ26" si="27">$EG11*EE11</f>
        <v>12.564343272674057</v>
      </c>
      <c r="EJ11" s="76">
        <f t="shared" si="27"/>
        <v>1.4914342234745899</v>
      </c>
      <c r="EK11" s="738">
        <f t="shared" ref="EK11:EK28" si="28">EH11+EI11*$BC$8+EJ11*$BD$8</f>
        <v>116233.89346807402</v>
      </c>
      <c r="EL11" s="50">
        <v>2.34</v>
      </c>
      <c r="EM11" s="50">
        <f t="shared" ref="EM11:EM28" si="29">EL11*DY11*DW11*1000000</f>
        <v>112317045.43132156</v>
      </c>
      <c r="EN11" s="475">
        <f>EM11/1000</f>
        <v>112317.04543132156</v>
      </c>
      <c r="EO11" s="50">
        <v>211</v>
      </c>
      <c r="EP11" s="475">
        <f t="shared" ref="EP11:EP28" si="30">EO11/10^6*DW11*10^6</f>
        <v>126596.66979705583</v>
      </c>
      <c r="ES11" s="129" t="s">
        <v>475</v>
      </c>
      <c r="ET11" s="129" t="s">
        <v>476</v>
      </c>
      <c r="EU11" s="129" t="s">
        <v>477</v>
      </c>
      <c r="EX11" s="129" t="s">
        <v>475</v>
      </c>
      <c r="EY11" s="129" t="s">
        <v>476</v>
      </c>
      <c r="EZ11" s="129" t="s">
        <v>477</v>
      </c>
      <c r="FC11" s="129" t="s">
        <v>475</v>
      </c>
      <c r="FD11" s="129" t="s">
        <v>476</v>
      </c>
      <c r="FE11" s="129" t="s">
        <v>477</v>
      </c>
      <c r="FH11" s="129" t="s">
        <v>475</v>
      </c>
      <c r="FI11" s="129" t="s">
        <v>476</v>
      </c>
      <c r="FJ11" s="129" t="s">
        <v>477</v>
      </c>
    </row>
    <row r="12" spans="1:166" ht="16.5" customHeight="1" thickBot="1" x14ac:dyDescent="0.8">
      <c r="A12" s="883"/>
      <c r="B12" s="396" t="s">
        <v>195</v>
      </c>
      <c r="C12" s="397">
        <v>39806</v>
      </c>
      <c r="D12" s="398">
        <v>37070.580282304945</v>
      </c>
      <c r="E12" s="399">
        <v>35244</v>
      </c>
      <c r="F12" s="400">
        <v>112120.58028230495</v>
      </c>
      <c r="G12" s="439">
        <v>216678.58028230496</v>
      </c>
      <c r="H12" s="393"/>
      <c r="I12" s="394"/>
      <c r="J12" s="394"/>
      <c r="K12" s="394"/>
      <c r="L12" s="401"/>
      <c r="M12" s="581"/>
      <c r="O12" s="129" t="s">
        <v>25</v>
      </c>
      <c r="P12" s="50">
        <v>0.85</v>
      </c>
      <c r="Q12" s="50">
        <v>43</v>
      </c>
      <c r="AA12" s="720" t="s">
        <v>197</v>
      </c>
      <c r="AB12" s="714">
        <v>6011</v>
      </c>
      <c r="AC12" s="714">
        <v>2928</v>
      </c>
      <c r="AD12" s="713">
        <v>0.49</v>
      </c>
      <c r="AE12" s="712">
        <v>27.99</v>
      </c>
      <c r="AF12" s="721">
        <v>10214</v>
      </c>
      <c r="AH12" s="162">
        <f t="shared" si="0"/>
        <v>0.20403244967923695</v>
      </c>
      <c r="AI12" s="162">
        <f t="shared" si="0"/>
        <v>0.19220165419456478</v>
      </c>
      <c r="AK12" s="76">
        <f>AF12*AB12/1000000</f>
        <v>61.396354000000002</v>
      </c>
      <c r="AL12" s="162">
        <f t="shared" si="4"/>
        <v>1.4732857964463981E-2</v>
      </c>
      <c r="AO12" s="50" t="s">
        <v>25</v>
      </c>
      <c r="AP12" s="255">
        <f>AL16</f>
        <v>0.3287220032145618</v>
      </c>
      <c r="AQ12" s="76">
        <f t="shared" si="8"/>
        <v>399.32652265971808</v>
      </c>
      <c r="AR12" s="50">
        <v>10.5</v>
      </c>
      <c r="AS12" s="50">
        <f t="shared" si="9"/>
        <v>0.105</v>
      </c>
      <c r="AT12" s="50">
        <v>0.86499999999999999</v>
      </c>
      <c r="AU12" s="50">
        <f t="shared" si="10"/>
        <v>9.0824999999999989E-2</v>
      </c>
      <c r="AV12" s="50">
        <v>43</v>
      </c>
      <c r="AW12" s="50">
        <f t="shared" si="11"/>
        <v>3.9054749999999996</v>
      </c>
      <c r="AX12" s="50">
        <v>73.367636682232202</v>
      </c>
      <c r="AY12" s="50">
        <f>0.06636778941357/1000</f>
        <v>6.6367789413569991E-5</v>
      </c>
      <c r="AZ12" s="50">
        <f>2.52657658902305/1000</f>
        <v>2.5265765890230499E-3</v>
      </c>
      <c r="BA12" s="76">
        <f t="shared" si="12"/>
        <v>1559.5597510844623</v>
      </c>
      <c r="BB12" s="76">
        <f t="shared" si="13"/>
        <v>114421.21320179732</v>
      </c>
      <c r="BC12" s="76">
        <f t="shared" si="14"/>
        <v>0.10350453313785322</v>
      </c>
      <c r="BD12" s="76">
        <f t="shared" si="15"/>
        <v>3.9403471562726176</v>
      </c>
      <c r="BE12" s="738">
        <f t="shared" ref="BE12:BE28" si="31">BB12+BC12*$BC$8+BD12*$BD$8</f>
        <v>115468.30332513743</v>
      </c>
      <c r="BF12" s="50">
        <v>2.72</v>
      </c>
      <c r="BG12" s="50">
        <f t="shared" si="16"/>
        <v>114047654.8716155</v>
      </c>
      <c r="BH12" s="738">
        <f t="shared" si="17"/>
        <v>114047.65487161549</v>
      </c>
      <c r="BI12" s="50">
        <v>187.9</v>
      </c>
      <c r="BJ12" s="738">
        <f t="shared" si="18"/>
        <v>75033.453607761039</v>
      </c>
      <c r="BQ12" s="175" t="s">
        <v>197</v>
      </c>
      <c r="BR12" s="198">
        <v>6269</v>
      </c>
      <c r="BS12" s="198">
        <v>3214</v>
      </c>
      <c r="BT12" s="177">
        <v>0.51</v>
      </c>
      <c r="BU12" s="176">
        <v>29.17</v>
      </c>
      <c r="BV12" s="178">
        <v>10647</v>
      </c>
      <c r="BX12" s="162">
        <f t="shared" si="5"/>
        <v>0.21662807975396522</v>
      </c>
      <c r="BY12" s="162">
        <f t="shared" si="5"/>
        <v>0.21798697775366252</v>
      </c>
      <c r="CA12" s="76">
        <f t="shared" si="1"/>
        <v>66.746043</v>
      </c>
      <c r="CB12" s="162">
        <f t="shared" si="6"/>
        <v>1.5713350297990199E-2</v>
      </c>
      <c r="CE12" s="50" t="s">
        <v>25</v>
      </c>
      <c r="CF12" s="189">
        <f>CB16</f>
        <v>0.32956545119115854</v>
      </c>
      <c r="CG12" s="76">
        <f t="shared" si="19"/>
        <v>445.86117299482657</v>
      </c>
      <c r="CH12" s="50">
        <v>10.5</v>
      </c>
      <c r="CI12" s="50">
        <f t="shared" ref="CI12:CI17" si="32">CH12/100</f>
        <v>0.105</v>
      </c>
      <c r="CJ12" s="50">
        <v>0.86499999999999999</v>
      </c>
      <c r="CK12" s="50">
        <f t="shared" ref="CK12:CK17" si="33">CJ12*CI12</f>
        <v>9.0824999999999989E-2</v>
      </c>
      <c r="CL12" s="50">
        <v>43</v>
      </c>
      <c r="CM12" s="50">
        <f t="shared" ref="CM12:CM17" si="34">CL12*CK12</f>
        <v>3.9054749999999996</v>
      </c>
      <c r="CN12" s="50">
        <v>73.367636682232202</v>
      </c>
      <c r="CO12" s="50">
        <f>0.06636778941357/1000</f>
        <v>6.6367789413569991E-5</v>
      </c>
      <c r="CP12" s="50">
        <f>2.52657658902305/1000</f>
        <v>2.5265765890230499E-3</v>
      </c>
      <c r="CQ12" s="76">
        <f t="shared" si="20"/>
        <v>1741.2996646019701</v>
      </c>
      <c r="CR12" s="76">
        <f t="shared" ref="CR12:CR28" si="35">$CQ12*CN12</f>
        <v>127755.04114741013</v>
      </c>
      <c r="CS12" s="76">
        <f t="shared" si="21"/>
        <v>0.1155662094462236</v>
      </c>
      <c r="CT12" s="76">
        <f t="shared" si="21"/>
        <v>4.3995269670570263</v>
      </c>
      <c r="CU12" s="738">
        <f t="shared" si="22"/>
        <v>128924.15164754473</v>
      </c>
      <c r="CV12" s="50">
        <v>2.72</v>
      </c>
      <c r="CW12" s="50">
        <f t="shared" si="23"/>
        <v>127337951.00732248</v>
      </c>
      <c r="CX12" s="475">
        <f t="shared" ref="CX12:CX17" si="36">CW12/1000</f>
        <v>127337.95100732248</v>
      </c>
      <c r="CY12" s="50">
        <v>187.9</v>
      </c>
      <c r="CZ12" s="475">
        <f t="shared" si="24"/>
        <v>83777.314405727913</v>
      </c>
      <c r="DG12" s="720" t="s">
        <v>197</v>
      </c>
      <c r="DH12" s="714">
        <v>6543</v>
      </c>
      <c r="DI12" s="714">
        <v>3392</v>
      </c>
      <c r="DJ12" s="713">
        <v>0.52</v>
      </c>
      <c r="DK12" s="712">
        <v>27.78</v>
      </c>
      <c r="DL12" s="721">
        <v>10139</v>
      </c>
      <c r="DN12" s="162">
        <f t="shared" si="2"/>
        <v>0.23318721265903988</v>
      </c>
      <c r="DO12" s="162">
        <f t="shared" si="2"/>
        <v>0.23229694562388714</v>
      </c>
      <c r="DQ12" s="76">
        <f t="shared" si="3"/>
        <v>66.339477000000002</v>
      </c>
      <c r="DR12" s="162">
        <f t="shared" si="7"/>
        <v>1.5617636549427567E-2</v>
      </c>
      <c r="DU12" s="50" t="s">
        <v>25</v>
      </c>
      <c r="DV12" s="189">
        <f>DR16</f>
        <v>0.31929873548908966</v>
      </c>
      <c r="DW12" s="76">
        <f t="shared" si="25"/>
        <v>427.23477484182251</v>
      </c>
      <c r="DX12" s="50">
        <v>10.5</v>
      </c>
      <c r="DY12" s="50">
        <f t="shared" ref="DY12:DY17" si="37">DX12/100</f>
        <v>0.105</v>
      </c>
      <c r="DZ12" s="50">
        <v>0.86499999999999999</v>
      </c>
      <c r="EA12" s="50">
        <f t="shared" ref="EA12:EA17" si="38">DZ12*DY12</f>
        <v>9.0824999999999989E-2</v>
      </c>
      <c r="EB12" s="50">
        <v>43</v>
      </c>
      <c r="EC12" s="50">
        <f t="shared" ref="EC12:EC17" si="39">EB12*EA12</f>
        <v>3.9054749999999996</v>
      </c>
      <c r="ED12" s="50">
        <v>73.367636682232202</v>
      </c>
      <c r="EE12" s="50">
        <f>0.06636778941357/1000</f>
        <v>6.6367789413569991E-5</v>
      </c>
      <c r="EF12" s="50">
        <f>2.52657658902305/1000</f>
        <v>2.5265765890230499E-3</v>
      </c>
      <c r="EG12" s="76">
        <f t="shared" si="26"/>
        <v>1668.5547322753666</v>
      </c>
      <c r="EH12" s="76">
        <f t="shared" ref="EH12:EH28" si="40">$EG12*ED12</f>
        <v>122417.91738199833</v>
      </c>
      <c r="EI12" s="76">
        <f t="shared" si="27"/>
        <v>0.11073828909666719</v>
      </c>
      <c r="EJ12" s="76">
        <f t="shared" si="27"/>
        <v>4.2157313240705641</v>
      </c>
      <c r="EK12" s="738">
        <f t="shared" si="28"/>
        <v>123538.18685497173</v>
      </c>
      <c r="EL12" s="50">
        <v>2.72</v>
      </c>
      <c r="EM12" s="50">
        <f t="shared" si="29"/>
        <v>122018251.69482452</v>
      </c>
      <c r="EN12" s="475">
        <f t="shared" ref="EN12:EN17" si="41">EM12/1000</f>
        <v>122018.25169482452</v>
      </c>
      <c r="EO12" s="50">
        <v>187.9</v>
      </c>
      <c r="EP12" s="475">
        <f t="shared" si="30"/>
        <v>80277.414192778451</v>
      </c>
    </row>
    <row r="13" spans="1:166" ht="16.5" customHeight="1" thickBot="1" x14ac:dyDescent="0.8">
      <c r="A13" s="883"/>
      <c r="B13" s="396" t="s">
        <v>15</v>
      </c>
      <c r="C13" s="397">
        <v>39314</v>
      </c>
      <c r="D13" s="398">
        <v>37980.72629630773</v>
      </c>
      <c r="E13" s="399">
        <v>36152</v>
      </c>
      <c r="F13" s="400">
        <v>113446.72629630772</v>
      </c>
      <c r="G13" s="439">
        <v>330125.30657861265</v>
      </c>
      <c r="H13" s="402"/>
      <c r="I13" s="394"/>
      <c r="J13" s="394"/>
      <c r="K13" s="394"/>
      <c r="L13" s="394"/>
      <c r="M13" s="581"/>
      <c r="AA13" s="718" t="s">
        <v>199</v>
      </c>
      <c r="AB13" s="711">
        <v>624</v>
      </c>
      <c r="AC13" s="711">
        <v>121</v>
      </c>
      <c r="AD13" s="710">
        <v>0.19</v>
      </c>
      <c r="AE13" s="711">
        <v>16.829999999999998</v>
      </c>
      <c r="AF13" s="719">
        <v>6144</v>
      </c>
      <c r="AH13" s="162">
        <f t="shared" si="0"/>
        <v>0.10274987650255228</v>
      </c>
      <c r="AI13" s="162">
        <f t="shared" si="0"/>
        <v>4.1466758053461276E-2</v>
      </c>
      <c r="AK13" s="76">
        <f>AF13*AB13/1000000</f>
        <v>3.8338559999999999</v>
      </c>
      <c r="AL13" s="162">
        <f t="shared" si="4"/>
        <v>9.1998387891580686E-4</v>
      </c>
      <c r="AO13" s="50" t="s">
        <v>252</v>
      </c>
      <c r="AP13" s="255">
        <f>AL23</f>
        <v>1.768902332913011E-2</v>
      </c>
      <c r="AQ13" s="76">
        <f t="shared" si="8"/>
        <v>21.488358266840983</v>
      </c>
      <c r="AR13" s="50">
        <v>0</v>
      </c>
      <c r="AS13" s="50">
        <f t="shared" si="9"/>
        <v>0</v>
      </c>
      <c r="AT13" s="50">
        <v>0</v>
      </c>
      <c r="AU13" s="50">
        <f t="shared" si="10"/>
        <v>0</v>
      </c>
      <c r="AV13" s="50">
        <v>0</v>
      </c>
      <c r="AW13" s="50">
        <f t="shared" si="11"/>
        <v>0</v>
      </c>
      <c r="AX13" s="50">
        <v>0</v>
      </c>
      <c r="AY13" s="50">
        <v>0</v>
      </c>
      <c r="AZ13" s="50">
        <v>0</v>
      </c>
      <c r="BA13" s="76">
        <f t="shared" si="12"/>
        <v>0</v>
      </c>
      <c r="BB13" s="76">
        <f t="shared" si="13"/>
        <v>0</v>
      </c>
      <c r="BC13" s="76">
        <f t="shared" si="14"/>
        <v>0</v>
      </c>
      <c r="BD13" s="76">
        <f t="shared" si="15"/>
        <v>0</v>
      </c>
      <c r="BE13" s="738">
        <f t="shared" si="31"/>
        <v>0</v>
      </c>
      <c r="BF13" s="50">
        <v>2.34</v>
      </c>
      <c r="BG13" s="50">
        <f t="shared" si="16"/>
        <v>0</v>
      </c>
      <c r="BH13" s="738">
        <f t="shared" si="17"/>
        <v>0</v>
      </c>
      <c r="BI13" s="50">
        <v>0</v>
      </c>
      <c r="BJ13" s="738">
        <f t="shared" si="18"/>
        <v>0</v>
      </c>
      <c r="BL13" s="50" t="s">
        <v>169</v>
      </c>
      <c r="BM13" s="76">
        <f>SUM(BE11:BE18)</f>
        <v>218748.33750437558</v>
      </c>
      <c r="BN13" s="76">
        <f>SUM(BH11:BH18)</f>
        <v>217845.84638304246</v>
      </c>
      <c r="BO13" s="50">
        <f>SUM(BJ11:BJ18)</f>
        <v>191263.33526185903</v>
      </c>
      <c r="BQ13" s="157" t="s">
        <v>199</v>
      </c>
      <c r="BR13" s="160">
        <v>635</v>
      </c>
      <c r="BS13" s="160">
        <v>158</v>
      </c>
      <c r="BT13" s="159">
        <v>0.25</v>
      </c>
      <c r="BU13" s="160">
        <v>21.98</v>
      </c>
      <c r="BV13" s="200">
        <v>8021</v>
      </c>
      <c r="BX13" s="162">
        <f t="shared" si="5"/>
        <v>0.10786478681841345</v>
      </c>
      <c r="BY13" s="162">
        <f t="shared" si="5"/>
        <v>5.398018448923813E-2</v>
      </c>
      <c r="CA13" s="76">
        <f t="shared" si="1"/>
        <v>5.0933349999999997</v>
      </c>
      <c r="CB13" s="162">
        <f t="shared" si="6"/>
        <v>1.1990726857023404E-3</v>
      </c>
      <c r="CE13" s="50" t="s">
        <v>487</v>
      </c>
      <c r="CF13" s="189">
        <f>CB23</f>
        <v>5.7102950084249225E-2</v>
      </c>
      <c r="CG13" s="76">
        <f t="shared" si="19"/>
        <v>77.253207865107129</v>
      </c>
      <c r="CH13" s="50">
        <v>3</v>
      </c>
      <c r="CI13" s="50">
        <f t="shared" si="32"/>
        <v>0.03</v>
      </c>
      <c r="CJ13" s="50">
        <v>0.75</v>
      </c>
      <c r="CK13" s="50">
        <f t="shared" si="33"/>
        <v>2.2499999999999999E-2</v>
      </c>
      <c r="CL13" s="50">
        <v>0</v>
      </c>
      <c r="CM13" s="50">
        <f t="shared" si="34"/>
        <v>0</v>
      </c>
      <c r="CN13" s="50">
        <v>72.416541095972974</v>
      </c>
      <c r="CO13" s="50">
        <f t="shared" ref="CO13:CO18" si="42">7.87852632644844/1000</f>
        <v>7.8785263264484397E-3</v>
      </c>
      <c r="CP13" s="50">
        <f t="shared" ref="CP13:CP18" si="43">0.93521034397128/1000</f>
        <v>9.3521034397127997E-4</v>
      </c>
      <c r="CQ13" s="76">
        <f t="shared" si="20"/>
        <v>0</v>
      </c>
      <c r="CR13" s="76">
        <f t="shared" si="35"/>
        <v>0</v>
      </c>
      <c r="CS13" s="76">
        <f t="shared" si="21"/>
        <v>0</v>
      </c>
      <c r="CT13" s="76">
        <f t="shared" si="21"/>
        <v>0</v>
      </c>
      <c r="CU13" s="738">
        <f t="shared" si="22"/>
        <v>0</v>
      </c>
      <c r="CV13" s="50">
        <v>2.34</v>
      </c>
      <c r="CW13" s="50">
        <f t="shared" si="23"/>
        <v>5423175.19213052</v>
      </c>
      <c r="CX13" s="475">
        <f t="shared" si="36"/>
        <v>5423.1751921305204</v>
      </c>
      <c r="CY13" s="50">
        <v>0</v>
      </c>
      <c r="CZ13" s="475">
        <f t="shared" si="24"/>
        <v>0</v>
      </c>
      <c r="DB13" s="50" t="s">
        <v>169</v>
      </c>
      <c r="DC13" s="76">
        <f>SUM(CU11:CU18)</f>
        <v>242474.11516524735</v>
      </c>
      <c r="DD13" s="76">
        <f>SUM(CX11:CX18)</f>
        <v>242484.6847124933</v>
      </c>
      <c r="DE13" s="50">
        <f>SUM(CZ11:CZ18)</f>
        <v>207450.76978100301</v>
      </c>
      <c r="DG13" s="718" t="s">
        <v>199</v>
      </c>
      <c r="DH13" s="711">
        <v>642</v>
      </c>
      <c r="DI13" s="711">
        <v>137</v>
      </c>
      <c r="DJ13" s="710">
        <v>0.21</v>
      </c>
      <c r="DK13" s="711">
        <v>16.7</v>
      </c>
      <c r="DL13" s="719">
        <v>6095</v>
      </c>
      <c r="DN13" s="162">
        <f t="shared" si="2"/>
        <v>0.11169102296450939</v>
      </c>
      <c r="DO13" s="162">
        <f t="shared" si="2"/>
        <v>4.9369369369369372E-2</v>
      </c>
      <c r="DQ13" s="76">
        <f t="shared" si="3"/>
        <v>3.9129900000000002</v>
      </c>
      <c r="DR13" s="162">
        <f t="shared" si="7"/>
        <v>9.2119592142013082E-4</v>
      </c>
      <c r="DU13" s="50" t="s">
        <v>487</v>
      </c>
      <c r="DV13" s="189">
        <f>DR23</f>
        <v>4.4497911810421918E-2</v>
      </c>
      <c r="DW13" s="76">
        <f t="shared" si="25"/>
        <v>59.540027003666246</v>
      </c>
      <c r="DX13" s="50">
        <v>3</v>
      </c>
      <c r="DY13" s="50">
        <f t="shared" si="37"/>
        <v>0.03</v>
      </c>
      <c r="DZ13" s="50">
        <v>0.75</v>
      </c>
      <c r="EA13" s="50">
        <f t="shared" si="38"/>
        <v>2.2499999999999999E-2</v>
      </c>
      <c r="EB13" s="50">
        <v>0</v>
      </c>
      <c r="EC13" s="50">
        <f t="shared" si="39"/>
        <v>0</v>
      </c>
      <c r="ED13" s="50">
        <v>72.416541095972974</v>
      </c>
      <c r="EE13" s="50">
        <f t="shared" ref="EE13:EE18" si="44">7.87852632644844/1000</f>
        <v>7.8785263264484397E-3</v>
      </c>
      <c r="EF13" s="50">
        <f t="shared" ref="EF13:EF18" si="45">0.93521034397128/1000</f>
        <v>9.3521034397127997E-4</v>
      </c>
      <c r="EG13" s="76">
        <f t="shared" si="26"/>
        <v>0</v>
      </c>
      <c r="EH13" s="76">
        <f t="shared" si="40"/>
        <v>0</v>
      </c>
      <c r="EI13" s="76">
        <f t="shared" si="27"/>
        <v>0</v>
      </c>
      <c r="EJ13" s="76">
        <f t="shared" si="27"/>
        <v>0</v>
      </c>
      <c r="EK13" s="738">
        <f t="shared" si="28"/>
        <v>0</v>
      </c>
      <c r="EL13" s="50">
        <v>2.34</v>
      </c>
      <c r="EM13" s="50">
        <f t="shared" si="29"/>
        <v>4179709.8956573703</v>
      </c>
      <c r="EN13" s="475">
        <f t="shared" si="41"/>
        <v>4179.70989565737</v>
      </c>
      <c r="EO13" s="50">
        <v>0</v>
      </c>
      <c r="EP13" s="475">
        <f t="shared" si="30"/>
        <v>0</v>
      </c>
      <c r="ER13" s="50" t="s">
        <v>169</v>
      </c>
      <c r="ES13" s="76">
        <f>SUM(EK11:EK18)</f>
        <v>239772.08032304575</v>
      </c>
      <c r="ET13" s="76">
        <f>SUM(EN11:EN18)</f>
        <v>238515.00702180347</v>
      </c>
      <c r="EU13" s="50">
        <f>SUM(EP11:EP18)</f>
        <v>206874.0839898343</v>
      </c>
      <c r="EW13" s="50" t="s">
        <v>169</v>
      </c>
      <c r="EX13" s="76">
        <f t="shared" ref="EX13:EZ18" si="46">ES13/(1+$P$24)</f>
        <v>233231.68341519832</v>
      </c>
      <c r="EY13" s="76">
        <f t="shared" si="46"/>
        <v>232008.90000426062</v>
      </c>
      <c r="EZ13" s="76">
        <f t="shared" si="46"/>
        <v>201231.06409603378</v>
      </c>
      <c r="FB13" s="50" t="s">
        <v>169</v>
      </c>
      <c r="FC13" s="76">
        <f t="shared" ref="FC13:FE18" si="47">EX13/(1+$P$23)</f>
        <v>215949.80562994696</v>
      </c>
      <c r="FD13" s="76">
        <f t="shared" si="47"/>
        <v>214817.62737674866</v>
      </c>
      <c r="FE13" s="76">
        <f t="shared" si="47"/>
        <v>186320.35125727751</v>
      </c>
      <c r="FG13" s="50" t="s">
        <v>169</v>
      </c>
      <c r="FH13" s="76">
        <f>FC13/(1+$P$22)</f>
        <v>201436.72455836937</v>
      </c>
      <c r="FI13" s="76">
        <f>FD13/(1+$P$22)</f>
        <v>200380.63525893609</v>
      </c>
      <c r="FJ13" s="76">
        <f>FE13/(1+$P$22)</f>
        <v>173798.54159325117</v>
      </c>
    </row>
    <row r="14" spans="1:166" ht="16.5" customHeight="1" thickBot="1" x14ac:dyDescent="0.8">
      <c r="A14" s="883"/>
      <c r="B14" s="396" t="s">
        <v>16</v>
      </c>
      <c r="C14" s="397">
        <v>40771.075849776658</v>
      </c>
      <c r="D14" s="398">
        <v>40551</v>
      </c>
      <c r="E14" s="399">
        <v>37617</v>
      </c>
      <c r="F14" s="400">
        <v>118939.07584977665</v>
      </c>
      <c r="G14" s="439">
        <v>449064.38242838928</v>
      </c>
      <c r="H14" s="402"/>
      <c r="I14" s="394"/>
      <c r="J14" s="394"/>
      <c r="K14" s="394"/>
      <c r="L14" s="394"/>
      <c r="M14" s="581"/>
      <c r="AA14" s="720" t="s">
        <v>201</v>
      </c>
      <c r="AB14" s="712">
        <v>13</v>
      </c>
      <c r="AC14" s="712">
        <v>1</v>
      </c>
      <c r="AD14" s="713">
        <v>0.08</v>
      </c>
      <c r="AE14" s="712" t="s">
        <v>1</v>
      </c>
      <c r="AF14" s="722" t="s">
        <v>1</v>
      </c>
      <c r="AH14" s="162">
        <f t="shared" si="0"/>
        <v>1.8465909090909091E-3</v>
      </c>
      <c r="AI14" s="162">
        <f t="shared" si="0"/>
        <v>2.8951939779965256E-4</v>
      </c>
      <c r="AK14" s="76">
        <v>0</v>
      </c>
      <c r="AL14" s="162">
        <f t="shared" si="4"/>
        <v>0</v>
      </c>
      <c r="AO14" s="50" t="s">
        <v>468</v>
      </c>
      <c r="AP14" s="255">
        <f>AL24</f>
        <v>1.9460266621831587E-2</v>
      </c>
      <c r="AQ14" s="76">
        <f t="shared" si="8"/>
        <v>23.640037856105231</v>
      </c>
      <c r="AR14" s="50">
        <v>3</v>
      </c>
      <c r="AS14" s="50">
        <f t="shared" si="9"/>
        <v>0.03</v>
      </c>
      <c r="AT14" s="50">
        <v>0.75</v>
      </c>
      <c r="AU14" s="50">
        <f t="shared" si="10"/>
        <v>2.2499999999999999E-2</v>
      </c>
      <c r="AV14" s="50">
        <v>44.3</v>
      </c>
      <c r="AW14" s="50">
        <f t="shared" si="11"/>
        <v>0.99674999999999991</v>
      </c>
      <c r="AX14" s="50">
        <v>72.416541095972974</v>
      </c>
      <c r="AY14" s="50">
        <f>7.87852632644844/1000</f>
        <v>7.8785263264484397E-3</v>
      </c>
      <c r="AZ14" s="50">
        <f>0.93521034397128/1000</f>
        <v>9.3521034397127997E-4</v>
      </c>
      <c r="BA14" s="76">
        <f t="shared" si="12"/>
        <v>23.563207733072886</v>
      </c>
      <c r="BB14" s="76">
        <f t="shared" si="13"/>
        <v>1706.3660011550207</v>
      </c>
      <c r="BC14" s="76">
        <f t="shared" si="14"/>
        <v>0.18564335246058819</v>
      </c>
      <c r="BD14" s="76">
        <f t="shared" si="15"/>
        <v>2.2036555609113818E-2</v>
      </c>
      <c r="BE14" s="738">
        <f t="shared" si="31"/>
        <v>1717.4037022603322</v>
      </c>
      <c r="BF14" s="50">
        <v>3.34</v>
      </c>
      <c r="BG14" s="50">
        <f t="shared" si="16"/>
        <v>2368731.7931817444</v>
      </c>
      <c r="BH14" s="738">
        <f t="shared" si="17"/>
        <v>2368.7317931817443</v>
      </c>
      <c r="BI14" s="50">
        <v>138.4</v>
      </c>
      <c r="BJ14" s="738">
        <f t="shared" si="18"/>
        <v>3271.7812392849637</v>
      </c>
      <c r="BL14" s="50" t="s">
        <v>202</v>
      </c>
      <c r="BM14" s="76">
        <f>SUM(BE19:BE20)</f>
        <v>2056.5311146351441</v>
      </c>
      <c r="BN14" s="76">
        <f>SUM(BH19:BH20)</f>
        <v>2015.1515494556077</v>
      </c>
      <c r="BO14" s="76">
        <f>SUM(BJ19:BJ20)</f>
        <v>1974.9606508115132</v>
      </c>
      <c r="BQ14" s="175" t="s">
        <v>201</v>
      </c>
      <c r="BR14" s="176">
        <v>13</v>
      </c>
      <c r="BS14" s="176">
        <v>0</v>
      </c>
      <c r="BT14" s="177">
        <v>0</v>
      </c>
      <c r="BU14" s="176">
        <v>0</v>
      </c>
      <c r="BV14" s="201">
        <v>0</v>
      </c>
      <c r="BX14" s="162">
        <f t="shared" si="5"/>
        <v>1.8675477661255567E-3</v>
      </c>
      <c r="BY14" s="162">
        <f t="shared" si="5"/>
        <v>0</v>
      </c>
      <c r="CA14" s="76">
        <f t="shared" si="1"/>
        <v>0</v>
      </c>
      <c r="CB14" s="162">
        <f t="shared" si="6"/>
        <v>0</v>
      </c>
      <c r="CE14" s="50" t="s">
        <v>468</v>
      </c>
      <c r="CF14" s="189">
        <v>0</v>
      </c>
      <c r="CG14" s="76">
        <f t="shared" si="19"/>
        <v>0</v>
      </c>
      <c r="CH14" s="50">
        <v>3</v>
      </c>
      <c r="CI14" s="50">
        <f t="shared" si="32"/>
        <v>0.03</v>
      </c>
      <c r="CJ14" s="50">
        <v>0.75</v>
      </c>
      <c r="CK14" s="50">
        <f t="shared" si="33"/>
        <v>2.2499999999999999E-2</v>
      </c>
      <c r="CL14" s="50">
        <v>44.3</v>
      </c>
      <c r="CM14" s="50">
        <f t="shared" si="34"/>
        <v>0.99674999999999991</v>
      </c>
      <c r="CN14" s="50">
        <v>73.416541095973002</v>
      </c>
      <c r="CO14" s="50">
        <f t="shared" si="42"/>
        <v>7.8785263264484397E-3</v>
      </c>
      <c r="CP14" s="50">
        <f t="shared" si="43"/>
        <v>9.3521034397127997E-4</v>
      </c>
      <c r="CQ14" s="76">
        <f t="shared" si="20"/>
        <v>0</v>
      </c>
      <c r="CR14" s="76">
        <f t="shared" si="35"/>
        <v>0</v>
      </c>
      <c r="CS14" s="76">
        <f t="shared" si="21"/>
        <v>0</v>
      </c>
      <c r="CT14" s="76">
        <f t="shared" si="21"/>
        <v>0</v>
      </c>
      <c r="CU14" s="738">
        <f t="shared" si="22"/>
        <v>0</v>
      </c>
      <c r="CV14" s="50">
        <v>3.34</v>
      </c>
      <c r="CW14" s="50">
        <f t="shared" si="23"/>
        <v>0</v>
      </c>
      <c r="CX14" s="475">
        <f t="shared" si="36"/>
        <v>0</v>
      </c>
      <c r="CY14" s="50">
        <v>138.4</v>
      </c>
      <c r="CZ14" s="475">
        <f t="shared" si="24"/>
        <v>0</v>
      </c>
      <c r="DB14" s="50" t="s">
        <v>202</v>
      </c>
      <c r="DC14" s="76">
        <f>SUM(CU19:CU20)</f>
        <v>2844.2886788084097</v>
      </c>
      <c r="DD14" s="76">
        <f>SUM(CX19:CX20)</f>
        <v>2829.228507336155</v>
      </c>
      <c r="DE14" s="76">
        <f>SUM(CZ19:CZ20)</f>
        <v>2774.1743892551267</v>
      </c>
      <c r="DG14" s="720" t="s">
        <v>201</v>
      </c>
      <c r="DH14" s="712">
        <v>12</v>
      </c>
      <c r="DI14" s="712">
        <v>2</v>
      </c>
      <c r="DJ14" s="713">
        <v>0.17</v>
      </c>
      <c r="DK14" s="712">
        <v>3.46</v>
      </c>
      <c r="DL14" s="721">
        <v>1263</v>
      </c>
      <c r="DN14" s="162">
        <f t="shared" si="2"/>
        <v>1.7817371937639199E-3</v>
      </c>
      <c r="DO14" s="162">
        <f t="shared" si="2"/>
        <v>6.1862047633776682E-4</v>
      </c>
      <c r="DQ14" s="76">
        <f t="shared" si="3"/>
        <v>1.5155999999999999E-2</v>
      </c>
      <c r="DR14" s="162">
        <f t="shared" si="7"/>
        <v>3.5680248058501302E-6</v>
      </c>
      <c r="DU14" s="50" t="s">
        <v>468</v>
      </c>
      <c r="DV14" s="189">
        <v>0</v>
      </c>
      <c r="DW14" s="76">
        <f t="shared" si="25"/>
        <v>0</v>
      </c>
      <c r="DX14" s="50">
        <v>3</v>
      </c>
      <c r="DY14" s="50">
        <f t="shared" si="37"/>
        <v>0.03</v>
      </c>
      <c r="DZ14" s="50">
        <v>0.75</v>
      </c>
      <c r="EA14" s="50">
        <f t="shared" si="38"/>
        <v>2.2499999999999999E-2</v>
      </c>
      <c r="EB14" s="50">
        <v>44.3</v>
      </c>
      <c r="EC14" s="50">
        <f t="shared" si="39"/>
        <v>0.99674999999999991</v>
      </c>
      <c r="ED14" s="50">
        <v>73.416541095973002</v>
      </c>
      <c r="EE14" s="50">
        <f t="shared" si="44"/>
        <v>7.8785263264484397E-3</v>
      </c>
      <c r="EF14" s="50">
        <f t="shared" si="45"/>
        <v>9.3521034397127997E-4</v>
      </c>
      <c r="EG14" s="76">
        <f t="shared" si="26"/>
        <v>0</v>
      </c>
      <c r="EH14" s="76">
        <f t="shared" si="40"/>
        <v>0</v>
      </c>
      <c r="EI14" s="76">
        <f t="shared" si="27"/>
        <v>0</v>
      </c>
      <c r="EJ14" s="76">
        <f t="shared" si="27"/>
        <v>0</v>
      </c>
      <c r="EK14" s="738">
        <f t="shared" si="28"/>
        <v>0</v>
      </c>
      <c r="EL14" s="50">
        <v>3.34</v>
      </c>
      <c r="EM14" s="50">
        <f t="shared" si="29"/>
        <v>0</v>
      </c>
      <c r="EN14" s="475">
        <f t="shared" si="41"/>
        <v>0</v>
      </c>
      <c r="EO14" s="50">
        <v>138.4</v>
      </c>
      <c r="EP14" s="475">
        <f t="shared" si="30"/>
        <v>0</v>
      </c>
      <c r="ER14" s="50" t="s">
        <v>202</v>
      </c>
      <c r="ES14" s="76">
        <f>SUM(EK19:EK20)</f>
        <v>2992.7347693047773</v>
      </c>
      <c r="ET14" s="76">
        <f>SUM(EN19:EN20)</f>
        <v>2977.500117055647</v>
      </c>
      <c r="EU14" s="76">
        <f>SUM(EP19:EP20)</f>
        <v>2915.2240404919821</v>
      </c>
      <c r="EW14" s="50" t="s">
        <v>202</v>
      </c>
      <c r="EX14" s="76">
        <f t="shared" si="46"/>
        <v>2911.1002720572378</v>
      </c>
      <c r="EY14" s="76">
        <f t="shared" si="46"/>
        <v>2896.2811839235296</v>
      </c>
      <c r="EZ14" s="76">
        <f t="shared" si="46"/>
        <v>2835.7038466711351</v>
      </c>
      <c r="FB14" s="50" t="s">
        <v>202</v>
      </c>
      <c r="FC14" s="76">
        <f t="shared" si="47"/>
        <v>2695.3951054793988</v>
      </c>
      <c r="FD14" s="76">
        <f t="shared" si="47"/>
        <v>2681.6740742917518</v>
      </c>
      <c r="FE14" s="76">
        <f t="shared" si="47"/>
        <v>2625.5853645003535</v>
      </c>
      <c r="FG14" s="50" t="s">
        <v>202</v>
      </c>
      <c r="FH14" s="76">
        <f t="shared" ref="FH14:FH24" si="48">FC14/(1+$P$22)</f>
        <v>2514.2489008248335</v>
      </c>
      <c r="FI14" s="76">
        <f t="shared" ref="FI14:FI24" si="49">FD14/(1+$P$22)</f>
        <v>2501.4500026181868</v>
      </c>
      <c r="FJ14" s="76">
        <f t="shared" ref="FJ14:FJ24" si="50">FE14/(1+$P$22)</f>
        <v>2449.1307798611861</v>
      </c>
    </row>
    <row r="15" spans="1:166" ht="16.5" customHeight="1" thickBot="1" x14ac:dyDescent="0.8">
      <c r="A15" s="883"/>
      <c r="B15" s="396" t="s">
        <v>17</v>
      </c>
      <c r="C15" s="397">
        <v>40229</v>
      </c>
      <c r="D15" s="398">
        <v>40965</v>
      </c>
      <c r="E15" s="399">
        <v>39578</v>
      </c>
      <c r="F15" s="441">
        <v>120772</v>
      </c>
      <c r="G15" s="439">
        <v>569836.38242838928</v>
      </c>
      <c r="H15" s="402"/>
      <c r="I15" s="394"/>
      <c r="J15" s="394"/>
      <c r="K15" s="394"/>
      <c r="L15" s="394"/>
      <c r="M15" s="581"/>
      <c r="O15" s="50">
        <v>2019</v>
      </c>
      <c r="AA15" s="731" t="s">
        <v>205</v>
      </c>
      <c r="AB15" s="732"/>
      <c r="AC15" s="732"/>
      <c r="AD15" s="732"/>
      <c r="AE15" s="732"/>
      <c r="AF15" s="733"/>
      <c r="AG15" s="112">
        <f>SUM(AF9:AF14)</f>
        <v>42302</v>
      </c>
      <c r="AK15" s="76">
        <f t="shared" ref="AK15:AK25" si="51">AF15*AB15/1000000</f>
        <v>0</v>
      </c>
      <c r="AL15" s="162">
        <f t="shared" si="4"/>
        <v>0</v>
      </c>
      <c r="AO15" s="50" t="s">
        <v>469</v>
      </c>
      <c r="AP15" s="255">
        <f>AL25</f>
        <v>3.8165633882624714E-2</v>
      </c>
      <c r="AQ15" s="76">
        <f t="shared" si="8"/>
        <v>46.36303537461928</v>
      </c>
      <c r="AR15" s="50">
        <v>3</v>
      </c>
      <c r="AS15" s="50">
        <f t="shared" si="9"/>
        <v>0.03</v>
      </c>
      <c r="AT15" s="50">
        <v>0.75</v>
      </c>
      <c r="AU15" s="50">
        <f t="shared" si="10"/>
        <v>2.2499999999999999E-2</v>
      </c>
      <c r="AV15" s="50">
        <v>44.3</v>
      </c>
      <c r="AW15" s="50">
        <f t="shared" si="11"/>
        <v>0.99674999999999991</v>
      </c>
      <c r="AX15" s="50">
        <v>72.416541095972974</v>
      </c>
      <c r="AY15" s="50">
        <f>7.87852632644844/1000</f>
        <v>7.8785263264484397E-3</v>
      </c>
      <c r="AZ15" s="50">
        <f>0.93521034397128/1000</f>
        <v>9.3521034397127997E-4</v>
      </c>
      <c r="BA15" s="76">
        <f t="shared" si="12"/>
        <v>46.212355509651765</v>
      </c>
      <c r="BB15" s="76">
        <f t="shared" si="13"/>
        <v>3346.5389419064099</v>
      </c>
      <c r="BC15" s="76">
        <f t="shared" si="14"/>
        <v>0.36408525948998605</v>
      </c>
      <c r="BD15" s="76">
        <f t="shared" si="15"/>
        <v>4.3218272891904504E-2</v>
      </c>
      <c r="BE15" s="738">
        <f t="shared" si="31"/>
        <v>3368.1861714884844</v>
      </c>
      <c r="BF15" s="50">
        <v>4.34</v>
      </c>
      <c r="BG15" s="50">
        <f t="shared" si="16"/>
        <v>6036467.2057754295</v>
      </c>
      <c r="BH15" s="738">
        <f t="shared" si="17"/>
        <v>6036.4672057754296</v>
      </c>
      <c r="BI15" s="50">
        <v>138.4</v>
      </c>
      <c r="BJ15" s="738">
        <f t="shared" si="18"/>
        <v>6416.6440958473086</v>
      </c>
      <c r="BL15" s="50" t="s">
        <v>209</v>
      </c>
      <c r="BM15" s="76">
        <f>SUM(BE21:BE22)</f>
        <v>38550.468633810415</v>
      </c>
      <c r="BN15" s="76">
        <f>SUM(BH21:BH22)</f>
        <v>37964.898956794503</v>
      </c>
      <c r="BO15" s="76">
        <f>SUM(BJ21:BJ22)</f>
        <v>27165.972723673982</v>
      </c>
      <c r="BQ15" s="846" t="s">
        <v>205</v>
      </c>
      <c r="BR15" s="847"/>
      <c r="BS15" s="847"/>
      <c r="BT15" s="847"/>
      <c r="BU15" s="847"/>
      <c r="BV15" s="848"/>
      <c r="BW15" s="112">
        <f>SUM(BV9:BV14)</f>
        <v>68289</v>
      </c>
      <c r="CA15" s="76">
        <f t="shared" si="1"/>
        <v>0</v>
      </c>
      <c r="CB15" s="162">
        <f t="shared" si="6"/>
        <v>0</v>
      </c>
      <c r="CE15" s="50" t="s">
        <v>469</v>
      </c>
      <c r="CF15" s="189">
        <v>0</v>
      </c>
      <c r="CG15" s="76">
        <f t="shared" si="19"/>
        <v>0</v>
      </c>
      <c r="CH15" s="50">
        <v>3</v>
      </c>
      <c r="CI15" s="50">
        <f t="shared" si="32"/>
        <v>0.03</v>
      </c>
      <c r="CJ15" s="50">
        <v>0.75</v>
      </c>
      <c r="CK15" s="50">
        <f t="shared" si="33"/>
        <v>2.2499999999999999E-2</v>
      </c>
      <c r="CL15" s="50">
        <v>44.3</v>
      </c>
      <c r="CM15" s="50">
        <f t="shared" si="34"/>
        <v>0.99674999999999991</v>
      </c>
      <c r="CN15" s="50">
        <v>74.416541095973002</v>
      </c>
      <c r="CO15" s="50">
        <f t="shared" si="42"/>
        <v>7.8785263264484397E-3</v>
      </c>
      <c r="CP15" s="50">
        <f t="shared" si="43"/>
        <v>9.3521034397127997E-4</v>
      </c>
      <c r="CQ15" s="76">
        <f t="shared" si="20"/>
        <v>0</v>
      </c>
      <c r="CR15" s="76">
        <f t="shared" si="35"/>
        <v>0</v>
      </c>
      <c r="CS15" s="76">
        <f t="shared" si="21"/>
        <v>0</v>
      </c>
      <c r="CT15" s="76">
        <f t="shared" si="21"/>
        <v>0</v>
      </c>
      <c r="CU15" s="738">
        <f t="shared" si="22"/>
        <v>0</v>
      </c>
      <c r="CV15" s="50">
        <v>4.34</v>
      </c>
      <c r="CW15" s="50">
        <f t="shared" si="23"/>
        <v>0</v>
      </c>
      <c r="CX15" s="475">
        <f t="shared" si="36"/>
        <v>0</v>
      </c>
      <c r="CY15" s="50">
        <v>138.4</v>
      </c>
      <c r="CZ15" s="475">
        <f t="shared" si="24"/>
        <v>0</v>
      </c>
      <c r="DB15" s="50" t="s">
        <v>209</v>
      </c>
      <c r="DC15" s="76">
        <f>SUM(CU21:CU22)</f>
        <v>42339.846780538603</v>
      </c>
      <c r="DD15" s="76">
        <f>SUM(CX21:CX22)</f>
        <v>41726.883709372625</v>
      </c>
      <c r="DE15" s="76">
        <f>SUM(CZ21:CZ22)</f>
        <v>29986.640040974013</v>
      </c>
      <c r="DG15" s="932" t="s">
        <v>205</v>
      </c>
      <c r="DH15" s="933"/>
      <c r="DI15" s="933"/>
      <c r="DJ15" s="933"/>
      <c r="DK15" s="933"/>
      <c r="DL15" s="934"/>
      <c r="DM15" s="112">
        <f>SUM(DL9:DL14)</f>
        <v>67784</v>
      </c>
      <c r="DQ15" s="76">
        <f t="shared" si="3"/>
        <v>0</v>
      </c>
      <c r="DR15" s="162">
        <f t="shared" si="7"/>
        <v>0</v>
      </c>
      <c r="DU15" s="50" t="s">
        <v>469</v>
      </c>
      <c r="DV15" s="189">
        <v>0</v>
      </c>
      <c r="DW15" s="76">
        <f t="shared" si="25"/>
        <v>0</v>
      </c>
      <c r="DX15" s="50">
        <v>3</v>
      </c>
      <c r="DY15" s="50">
        <f t="shared" si="37"/>
        <v>0.03</v>
      </c>
      <c r="DZ15" s="50">
        <v>0.75</v>
      </c>
      <c r="EA15" s="50">
        <f t="shared" si="38"/>
        <v>2.2499999999999999E-2</v>
      </c>
      <c r="EB15" s="50">
        <v>44.3</v>
      </c>
      <c r="EC15" s="50">
        <f t="shared" si="39"/>
        <v>0.99674999999999991</v>
      </c>
      <c r="ED15" s="50">
        <v>74.416541095973002</v>
      </c>
      <c r="EE15" s="50">
        <f t="shared" si="44"/>
        <v>7.8785263264484397E-3</v>
      </c>
      <c r="EF15" s="50">
        <f t="shared" si="45"/>
        <v>9.3521034397127997E-4</v>
      </c>
      <c r="EG15" s="76">
        <f t="shared" si="26"/>
        <v>0</v>
      </c>
      <c r="EH15" s="76">
        <f t="shared" si="40"/>
        <v>0</v>
      </c>
      <c r="EI15" s="76">
        <f t="shared" si="27"/>
        <v>0</v>
      </c>
      <c r="EJ15" s="76">
        <f t="shared" si="27"/>
        <v>0</v>
      </c>
      <c r="EK15" s="738">
        <f t="shared" si="28"/>
        <v>0</v>
      </c>
      <c r="EL15" s="50">
        <v>4.34</v>
      </c>
      <c r="EM15" s="50">
        <f t="shared" si="29"/>
        <v>0</v>
      </c>
      <c r="EN15" s="475">
        <f t="shared" si="41"/>
        <v>0</v>
      </c>
      <c r="EO15" s="50">
        <v>138.4</v>
      </c>
      <c r="EP15" s="475">
        <f t="shared" si="30"/>
        <v>0</v>
      </c>
      <c r="ER15" s="50" t="s">
        <v>209</v>
      </c>
      <c r="ES15" s="76">
        <f>SUM(EK21:EK22)</f>
        <v>40483.024627056213</v>
      </c>
      <c r="ET15" s="76">
        <f>SUM(EN21:EN22)</f>
        <v>39892.857957114815</v>
      </c>
      <c r="EU15" s="76">
        <f>SUM(EP21:EP22)</f>
        <v>28715.124911562707</v>
      </c>
      <c r="EW15" s="50" t="s">
        <v>209</v>
      </c>
      <c r="EX15" s="76">
        <f t="shared" si="46"/>
        <v>39378.746561259817</v>
      </c>
      <c r="EY15" s="76">
        <f t="shared" si="46"/>
        <v>38804.67819708446</v>
      </c>
      <c r="EZ15" s="76">
        <f t="shared" si="46"/>
        <v>27931.846416722929</v>
      </c>
      <c r="FB15" s="50" t="s">
        <v>209</v>
      </c>
      <c r="FC15" s="76">
        <f t="shared" si="47"/>
        <v>36460.881048980395</v>
      </c>
      <c r="FD15" s="76">
        <f t="shared" si="47"/>
        <v>35929.349698493686</v>
      </c>
      <c r="FE15" s="76">
        <f t="shared" si="47"/>
        <v>25862.167250402763</v>
      </c>
      <c r="FG15" s="50" t="s">
        <v>209</v>
      </c>
      <c r="FH15" s="76">
        <f t="shared" si="48"/>
        <v>34010.498095120405</v>
      </c>
      <c r="FI15" s="76">
        <f t="shared" si="49"/>
        <v>33514.688738266414</v>
      </c>
      <c r="FJ15" s="76">
        <f t="shared" si="50"/>
        <v>24124.079416070654</v>
      </c>
    </row>
    <row r="16" spans="1:166" ht="16.5" customHeight="1" thickBot="1" x14ac:dyDescent="0.8">
      <c r="A16" s="883"/>
      <c r="B16" s="396" t="s">
        <v>18</v>
      </c>
      <c r="C16" s="397">
        <v>39072</v>
      </c>
      <c r="D16" s="398">
        <v>41329</v>
      </c>
      <c r="E16" s="399">
        <v>40381</v>
      </c>
      <c r="F16" s="441">
        <v>120782</v>
      </c>
      <c r="G16" s="439">
        <v>690618.38242838928</v>
      </c>
      <c r="H16" s="402"/>
      <c r="I16" s="394"/>
      <c r="J16" s="394"/>
      <c r="K16" s="394"/>
      <c r="L16" s="394"/>
      <c r="M16" s="581"/>
      <c r="S16" s="255">
        <v>0.16</v>
      </c>
      <c r="T16" s="189">
        <v>1.9400000000000001E-2</v>
      </c>
      <c r="U16" s="255">
        <v>0.65</v>
      </c>
      <c r="W16" s="50">
        <v>4.97</v>
      </c>
      <c r="AA16" s="720" t="s">
        <v>169</v>
      </c>
      <c r="AB16" s="714">
        <v>88209</v>
      </c>
      <c r="AC16" s="714">
        <v>44654</v>
      </c>
      <c r="AD16" s="713">
        <v>0.51</v>
      </c>
      <c r="AE16" s="712">
        <v>42.55</v>
      </c>
      <c r="AF16" s="721">
        <v>15530</v>
      </c>
      <c r="AH16" s="162">
        <f t="shared" ref="AH16:AI21" si="52">AB16/AB30</f>
        <v>0.32716651521614154</v>
      </c>
      <c r="AI16" s="162">
        <f t="shared" si="52"/>
        <v>0.33788599922819074</v>
      </c>
      <c r="AK16" s="76">
        <f t="shared" si="51"/>
        <v>1369.8857700000001</v>
      </c>
      <c r="AL16" s="162">
        <f t="shared" si="4"/>
        <v>0.3287220032145618</v>
      </c>
      <c r="AO16" s="50" t="s">
        <v>470</v>
      </c>
      <c r="AP16" s="255">
        <v>0</v>
      </c>
      <c r="AQ16" s="76">
        <f t="shared" si="8"/>
        <v>0</v>
      </c>
      <c r="AR16" s="50">
        <v>4</v>
      </c>
      <c r="AS16" s="50">
        <f t="shared" si="9"/>
        <v>0.04</v>
      </c>
      <c r="AT16" s="50">
        <v>0.86499999999999999</v>
      </c>
      <c r="AU16" s="50">
        <f t="shared" si="10"/>
        <v>3.4599999999999999E-2</v>
      </c>
      <c r="AV16" s="50">
        <v>43</v>
      </c>
      <c r="AW16" s="50">
        <f t="shared" si="11"/>
        <v>1.4878</v>
      </c>
      <c r="AX16" s="50">
        <v>73.367636682232202</v>
      </c>
      <c r="AY16" s="50">
        <f>0.06636778941357/1000</f>
        <v>6.6367789413569991E-5</v>
      </c>
      <c r="AZ16" s="50">
        <f>2.52657658902305/1000</f>
        <v>2.5265765890230499E-3</v>
      </c>
      <c r="BA16" s="76">
        <f t="shared" si="12"/>
        <v>0</v>
      </c>
      <c r="BB16" s="76">
        <f t="shared" si="13"/>
        <v>0</v>
      </c>
      <c r="BC16" s="76">
        <f t="shared" si="14"/>
        <v>0</v>
      </c>
      <c r="BD16" s="76">
        <f t="shared" si="15"/>
        <v>0</v>
      </c>
      <c r="BE16" s="738">
        <f t="shared" si="31"/>
        <v>0</v>
      </c>
      <c r="BF16" s="50">
        <v>5.34</v>
      </c>
      <c r="BG16" s="50">
        <f t="shared" si="16"/>
        <v>0</v>
      </c>
      <c r="BH16" s="738">
        <f t="shared" si="17"/>
        <v>0</v>
      </c>
      <c r="BI16" s="50">
        <v>138.4</v>
      </c>
      <c r="BJ16" s="738">
        <f t="shared" si="18"/>
        <v>0</v>
      </c>
      <c r="BL16" s="50" t="s">
        <v>215</v>
      </c>
      <c r="BM16" s="76">
        <f>SUM(BE23:BE24)</f>
        <v>12192.543883759765</v>
      </c>
      <c r="BN16" s="76">
        <f>SUM(BH23:BH24)</f>
        <v>12040.369071106743</v>
      </c>
      <c r="BO16" s="76">
        <f>SUM(BJ23:BJ24)</f>
        <v>16713.303843827831</v>
      </c>
      <c r="BQ16" s="175" t="s">
        <v>169</v>
      </c>
      <c r="BR16" s="198">
        <v>87423</v>
      </c>
      <c r="BS16" s="198">
        <v>38834</v>
      </c>
      <c r="BT16" s="177">
        <v>0.44</v>
      </c>
      <c r="BU16" s="176">
        <v>43.87</v>
      </c>
      <c r="BV16" s="178">
        <v>16013</v>
      </c>
      <c r="BX16" s="162">
        <f t="shared" ref="BX16:BY21" si="53">BR16/BR23</f>
        <v>0.32399888816825723</v>
      </c>
      <c r="BY16" s="162">
        <f t="shared" si="53"/>
        <v>0.30740125069263041</v>
      </c>
      <c r="CA16" s="76">
        <f t="shared" si="1"/>
        <v>1399.904499</v>
      </c>
      <c r="CB16" s="162">
        <f t="shared" si="6"/>
        <v>0.32956545119115854</v>
      </c>
      <c r="CE16" s="50" t="s">
        <v>470</v>
      </c>
      <c r="CF16" s="189">
        <v>0</v>
      </c>
      <c r="CG16" s="76">
        <f t="shared" si="19"/>
        <v>0</v>
      </c>
      <c r="CH16" s="50">
        <v>4</v>
      </c>
      <c r="CI16" s="50">
        <f t="shared" si="32"/>
        <v>0.04</v>
      </c>
      <c r="CJ16" s="50">
        <v>0.86499999999999999</v>
      </c>
      <c r="CK16" s="50">
        <f t="shared" si="33"/>
        <v>3.4599999999999999E-2</v>
      </c>
      <c r="CL16" s="50">
        <v>43</v>
      </c>
      <c r="CM16" s="50">
        <f t="shared" si="34"/>
        <v>1.4878</v>
      </c>
      <c r="CN16" s="50">
        <v>75.416541095973002</v>
      </c>
      <c r="CO16" s="50">
        <f t="shared" si="42"/>
        <v>7.8785263264484397E-3</v>
      </c>
      <c r="CP16" s="50">
        <f t="shared" si="43"/>
        <v>9.3521034397127997E-4</v>
      </c>
      <c r="CQ16" s="76">
        <f t="shared" si="20"/>
        <v>0</v>
      </c>
      <c r="CR16" s="76">
        <f t="shared" si="35"/>
        <v>0</v>
      </c>
      <c r="CS16" s="76">
        <f t="shared" si="21"/>
        <v>0</v>
      </c>
      <c r="CT16" s="76">
        <f t="shared" si="21"/>
        <v>0</v>
      </c>
      <c r="CU16" s="738">
        <f t="shared" si="22"/>
        <v>0</v>
      </c>
      <c r="CV16" s="50">
        <v>5.34</v>
      </c>
      <c r="CW16" s="50">
        <f t="shared" si="23"/>
        <v>0</v>
      </c>
      <c r="CX16" s="475">
        <f t="shared" si="36"/>
        <v>0</v>
      </c>
      <c r="CY16" s="50">
        <v>138.4</v>
      </c>
      <c r="CZ16" s="475">
        <f t="shared" si="24"/>
        <v>0</v>
      </c>
      <c r="DB16" s="50" t="s">
        <v>215</v>
      </c>
      <c r="DC16" s="76">
        <f>SUM(CU23:CU24)</f>
        <v>15349.830828563403</v>
      </c>
      <c r="DD16" s="76">
        <f>SUM(CX23:CX24)</f>
        <v>15157.679575686412</v>
      </c>
      <c r="DE16" s="76">
        <f>SUM(CZ23:CZ24)</f>
        <v>21040.05482263102</v>
      </c>
      <c r="DG16" s="720" t="s">
        <v>169</v>
      </c>
      <c r="DH16" s="714">
        <v>84557</v>
      </c>
      <c r="DI16" s="714">
        <v>37498</v>
      </c>
      <c r="DJ16" s="713">
        <v>0.44</v>
      </c>
      <c r="DK16" s="712">
        <v>43.95</v>
      </c>
      <c r="DL16" s="721">
        <v>16040</v>
      </c>
      <c r="DN16" s="162">
        <f t="shared" ref="DN16:DN21" si="54">DH16/DH23</f>
        <v>0.31623925230848632</v>
      </c>
      <c r="DO16" s="162">
        <f t="shared" ref="DO16:DO21" si="55">DI16/DI23</f>
        <v>0.28665127585732414</v>
      </c>
      <c r="DQ16" s="76">
        <f t="shared" si="3"/>
        <v>1356.2942800000001</v>
      </c>
      <c r="DR16" s="162">
        <f t="shared" si="7"/>
        <v>0.31929873548908966</v>
      </c>
      <c r="DU16" s="50" t="s">
        <v>470</v>
      </c>
      <c r="DV16" s="189">
        <v>0</v>
      </c>
      <c r="DW16" s="76">
        <f t="shared" si="25"/>
        <v>0</v>
      </c>
      <c r="DX16" s="50">
        <v>4</v>
      </c>
      <c r="DY16" s="50">
        <f t="shared" si="37"/>
        <v>0.04</v>
      </c>
      <c r="DZ16" s="50">
        <v>0.86499999999999999</v>
      </c>
      <c r="EA16" s="50">
        <f t="shared" si="38"/>
        <v>3.4599999999999999E-2</v>
      </c>
      <c r="EB16" s="50">
        <v>43</v>
      </c>
      <c r="EC16" s="50">
        <f t="shared" si="39"/>
        <v>1.4878</v>
      </c>
      <c r="ED16" s="50">
        <v>75.416541095973002</v>
      </c>
      <c r="EE16" s="50">
        <f t="shared" si="44"/>
        <v>7.8785263264484397E-3</v>
      </c>
      <c r="EF16" s="50">
        <f t="shared" si="45"/>
        <v>9.3521034397127997E-4</v>
      </c>
      <c r="EG16" s="76">
        <f t="shared" si="26"/>
        <v>0</v>
      </c>
      <c r="EH16" s="76">
        <f t="shared" si="40"/>
        <v>0</v>
      </c>
      <c r="EI16" s="76">
        <f t="shared" si="27"/>
        <v>0</v>
      </c>
      <c r="EJ16" s="76">
        <f t="shared" si="27"/>
        <v>0</v>
      </c>
      <c r="EK16" s="738">
        <f t="shared" si="28"/>
        <v>0</v>
      </c>
      <c r="EL16" s="50">
        <v>5.34</v>
      </c>
      <c r="EM16" s="50">
        <f t="shared" si="29"/>
        <v>0</v>
      </c>
      <c r="EN16" s="475">
        <f t="shared" si="41"/>
        <v>0</v>
      </c>
      <c r="EO16" s="50">
        <v>138.4</v>
      </c>
      <c r="EP16" s="475">
        <f t="shared" si="30"/>
        <v>0</v>
      </c>
      <c r="ER16" s="50" t="s">
        <v>215</v>
      </c>
      <c r="ES16" s="76">
        <f>SUM(EK23:EK24)</f>
        <v>14891.690582146965</v>
      </c>
      <c r="ET16" s="76">
        <f>SUM(EN23:EN24)</f>
        <v>14705.181089911972</v>
      </c>
      <c r="EU16" s="76">
        <f>SUM(EP23:EP24)</f>
        <v>20411.88495205138</v>
      </c>
      <c r="EW16" s="50" t="s">
        <v>215</v>
      </c>
      <c r="EX16" s="76">
        <f t="shared" si="46"/>
        <v>14485.481623602371</v>
      </c>
      <c r="EY16" s="76">
        <f t="shared" si="46"/>
        <v>14304.059654921641</v>
      </c>
      <c r="EZ16" s="76">
        <f t="shared" si="46"/>
        <v>19855.098569567366</v>
      </c>
      <c r="FB16" s="50" t="s">
        <v>215</v>
      </c>
      <c r="FC16" s="76">
        <f t="shared" si="47"/>
        <v>13412.144076087643</v>
      </c>
      <c r="FD16" s="76">
        <f t="shared" si="47"/>
        <v>13244.165016382185</v>
      </c>
      <c r="FE16" s="76">
        <f t="shared" si="47"/>
        <v>18383.885988716858</v>
      </c>
      <c r="FG16" s="50" t="s">
        <v>215</v>
      </c>
      <c r="FH16" s="76">
        <f t="shared" si="48"/>
        <v>12510.770102852885</v>
      </c>
      <c r="FI16" s="76">
        <f t="shared" si="49"/>
        <v>12354.080211501718</v>
      </c>
      <c r="FJ16" s="76">
        <f t="shared" si="50"/>
        <v>17148.382085452926</v>
      </c>
    </row>
    <row r="17" spans="1:166" ht="16.5" customHeight="1" thickBot="1" x14ac:dyDescent="0.8">
      <c r="A17" s="883"/>
      <c r="B17" s="396" t="s">
        <v>19</v>
      </c>
      <c r="C17" s="397">
        <v>34593</v>
      </c>
      <c r="D17" s="398">
        <v>38833</v>
      </c>
      <c r="E17" s="399">
        <v>38760.78330939178</v>
      </c>
      <c r="F17" s="400">
        <v>112186.78330939179</v>
      </c>
      <c r="G17" s="439">
        <v>802805.16573778109</v>
      </c>
      <c r="H17" s="402"/>
      <c r="I17" s="394"/>
      <c r="J17" s="394"/>
      <c r="K17" s="394"/>
      <c r="L17" s="394"/>
      <c r="M17" s="581"/>
      <c r="Q17" s="50" t="s">
        <v>482</v>
      </c>
      <c r="R17" s="50" t="s">
        <v>228</v>
      </c>
      <c r="S17" s="129" t="s">
        <v>483</v>
      </c>
      <c r="T17" s="129" t="s">
        <v>484</v>
      </c>
      <c r="U17" s="129" t="s">
        <v>485</v>
      </c>
      <c r="V17" s="129" t="s">
        <v>486</v>
      </c>
      <c r="W17" s="129" t="s">
        <v>230</v>
      </c>
      <c r="AA17" s="718" t="s">
        <v>190</v>
      </c>
      <c r="AB17" s="709">
        <v>1257</v>
      </c>
      <c r="AC17" s="711">
        <v>559</v>
      </c>
      <c r="AD17" s="710">
        <v>0.44</v>
      </c>
      <c r="AE17" s="711">
        <v>60.13</v>
      </c>
      <c r="AF17" s="719">
        <v>21948</v>
      </c>
      <c r="AH17" s="162">
        <f t="shared" si="52"/>
        <v>0.92699115044247793</v>
      </c>
      <c r="AI17" s="162">
        <f t="shared" si="52"/>
        <v>0.91940789473684215</v>
      </c>
      <c r="AK17" s="76">
        <f t="shared" si="51"/>
        <v>27.588636000000001</v>
      </c>
      <c r="AL17" s="162">
        <f t="shared" si="4"/>
        <v>6.6202539587496955E-3</v>
      </c>
      <c r="AO17" s="50" t="s">
        <v>471</v>
      </c>
      <c r="AP17" s="255">
        <f>AL27</f>
        <v>2.8389597195019396E-3</v>
      </c>
      <c r="AQ17" s="76">
        <f t="shared" si="8"/>
        <v>3.4487253718144126</v>
      </c>
      <c r="AR17" s="50">
        <v>4</v>
      </c>
      <c r="AS17" s="50">
        <f t="shared" si="9"/>
        <v>0.04</v>
      </c>
      <c r="AT17" s="50">
        <v>0.86499999999999999</v>
      </c>
      <c r="AU17" s="50">
        <f t="shared" si="10"/>
        <v>3.4599999999999999E-2</v>
      </c>
      <c r="AV17" s="50">
        <v>43</v>
      </c>
      <c r="AW17" s="50">
        <f t="shared" si="11"/>
        <v>1.4878</v>
      </c>
      <c r="AX17" s="50">
        <v>73.367636682232202</v>
      </c>
      <c r="AY17" s="50">
        <f>0.06636778941357/1000</f>
        <v>6.6367789413569991E-5</v>
      </c>
      <c r="AZ17" s="50">
        <f>2.52657658902305/1000</f>
        <v>2.5265765890230499E-3</v>
      </c>
      <c r="BA17" s="76">
        <f t="shared" si="12"/>
        <v>5.1310136081854836</v>
      </c>
      <c r="BB17" s="76">
        <f t="shared" si="13"/>
        <v>376.45034221694192</v>
      </c>
      <c r="BC17" s="76">
        <f t="shared" si="14"/>
        <v>3.4053403062621611E-4</v>
      </c>
      <c r="BD17" s="76">
        <f t="shared" si="15"/>
        <v>1.2963898860400131E-2</v>
      </c>
      <c r="BE17" s="738">
        <f t="shared" si="31"/>
        <v>379.89531036780545</v>
      </c>
      <c r="BF17" s="50">
        <v>6.34</v>
      </c>
      <c r="BG17" s="50">
        <f t="shared" si="16"/>
        <v>874596.75429213501</v>
      </c>
      <c r="BH17" s="738">
        <f t="shared" si="17"/>
        <v>874.59675429213496</v>
      </c>
      <c r="BI17" s="50">
        <v>138.4</v>
      </c>
      <c r="BJ17" s="738">
        <f t="shared" si="18"/>
        <v>477.30359145911467</v>
      </c>
      <c r="BL17" s="50" t="s">
        <v>199</v>
      </c>
      <c r="BM17" s="76">
        <f>SUM(BE25:BE26)</f>
        <v>13922.276304493953</v>
      </c>
      <c r="BN17" s="76">
        <f>SUM(BH25:BH26)</f>
        <v>13754.06762854457</v>
      </c>
      <c r="BO17" s="76">
        <f>SUM(BJ25:BJ26)</f>
        <v>14892.676081643898</v>
      </c>
      <c r="BQ17" s="157" t="s">
        <v>190</v>
      </c>
      <c r="BR17" s="158">
        <v>1303</v>
      </c>
      <c r="BS17" s="160">
        <v>694</v>
      </c>
      <c r="BT17" s="159">
        <v>0.53</v>
      </c>
      <c r="BU17" s="160">
        <v>74.41</v>
      </c>
      <c r="BV17" s="161">
        <v>27158</v>
      </c>
      <c r="BX17" s="162">
        <f t="shared" si="53"/>
        <v>0.94011544011544013</v>
      </c>
      <c r="BY17" s="162">
        <f t="shared" si="53"/>
        <v>0.91436100131752307</v>
      </c>
      <c r="CA17" s="76">
        <f t="shared" si="1"/>
        <v>35.386873999999999</v>
      </c>
      <c r="CB17" s="162">
        <f t="shared" si="6"/>
        <v>8.3307762096524827E-3</v>
      </c>
      <c r="CE17" s="50" t="s">
        <v>471</v>
      </c>
      <c r="CF17" s="189">
        <v>0</v>
      </c>
      <c r="CG17" s="76">
        <f t="shared" si="19"/>
        <v>0</v>
      </c>
      <c r="CH17" s="50">
        <v>4</v>
      </c>
      <c r="CI17" s="50">
        <f t="shared" si="32"/>
        <v>0.04</v>
      </c>
      <c r="CJ17" s="50">
        <v>0.86499999999999999</v>
      </c>
      <c r="CK17" s="50">
        <f t="shared" si="33"/>
        <v>3.4599999999999999E-2</v>
      </c>
      <c r="CL17" s="50">
        <v>43</v>
      </c>
      <c r="CM17" s="50">
        <f t="shared" si="34"/>
        <v>1.4878</v>
      </c>
      <c r="CN17" s="50">
        <v>76.416541095973002</v>
      </c>
      <c r="CO17" s="50">
        <f t="shared" si="42"/>
        <v>7.8785263264484397E-3</v>
      </c>
      <c r="CP17" s="50">
        <f t="shared" si="43"/>
        <v>9.3521034397127997E-4</v>
      </c>
      <c r="CQ17" s="76">
        <f t="shared" si="20"/>
        <v>0</v>
      </c>
      <c r="CR17" s="76">
        <f t="shared" si="35"/>
        <v>0</v>
      </c>
      <c r="CS17" s="76">
        <f t="shared" si="21"/>
        <v>0</v>
      </c>
      <c r="CT17" s="76">
        <f t="shared" si="21"/>
        <v>0</v>
      </c>
      <c r="CU17" s="738">
        <f t="shared" si="22"/>
        <v>0</v>
      </c>
      <c r="CV17" s="50">
        <v>6.34</v>
      </c>
      <c r="CW17" s="50">
        <f t="shared" si="23"/>
        <v>0</v>
      </c>
      <c r="CX17" s="475">
        <f t="shared" si="36"/>
        <v>0</v>
      </c>
      <c r="CY17" s="50">
        <v>138.4</v>
      </c>
      <c r="CZ17" s="475">
        <f t="shared" si="24"/>
        <v>0</v>
      </c>
      <c r="DB17" s="50" t="s">
        <v>199</v>
      </c>
      <c r="DC17" s="76">
        <f>SUM(CU25:CU26)</f>
        <v>15488.052883239328</v>
      </c>
      <c r="DD17" s="76">
        <f>SUM(CX25:CX26)</f>
        <v>15295.27963497177</v>
      </c>
      <c r="DE17" s="76">
        <f>SUM(CZ25:CZ26)</f>
        <v>16513.466391833874</v>
      </c>
      <c r="DG17" s="718" t="s">
        <v>190</v>
      </c>
      <c r="DH17" s="709">
        <v>1346</v>
      </c>
      <c r="DI17" s="711">
        <v>708</v>
      </c>
      <c r="DJ17" s="710">
        <v>0.53</v>
      </c>
      <c r="DK17" s="711">
        <v>77.06</v>
      </c>
      <c r="DL17" s="719">
        <v>28128</v>
      </c>
      <c r="DN17" s="162">
        <f t="shared" si="54"/>
        <v>0.9295580110497238</v>
      </c>
      <c r="DO17" s="162">
        <f t="shared" si="55"/>
        <v>0.91354838709677422</v>
      </c>
      <c r="DQ17" s="76">
        <f t="shared" si="3"/>
        <v>37.860287999999997</v>
      </c>
      <c r="DR17" s="162">
        <f t="shared" si="7"/>
        <v>8.9130672169853535E-3</v>
      </c>
      <c r="DU17" s="50" t="s">
        <v>471</v>
      </c>
      <c r="DV17" s="189">
        <v>0</v>
      </c>
      <c r="DW17" s="76">
        <f t="shared" si="25"/>
        <v>0</v>
      </c>
      <c r="DX17" s="50">
        <v>4</v>
      </c>
      <c r="DY17" s="50">
        <f t="shared" si="37"/>
        <v>0.04</v>
      </c>
      <c r="DZ17" s="50">
        <v>0.86499999999999999</v>
      </c>
      <c r="EA17" s="50">
        <f t="shared" si="38"/>
        <v>3.4599999999999999E-2</v>
      </c>
      <c r="EB17" s="50">
        <v>43</v>
      </c>
      <c r="EC17" s="50">
        <f t="shared" si="39"/>
        <v>1.4878</v>
      </c>
      <c r="ED17" s="50">
        <v>76.416541095973002</v>
      </c>
      <c r="EE17" s="50">
        <f t="shared" si="44"/>
        <v>7.8785263264484397E-3</v>
      </c>
      <c r="EF17" s="50">
        <f t="shared" si="45"/>
        <v>9.3521034397127997E-4</v>
      </c>
      <c r="EG17" s="76">
        <f t="shared" si="26"/>
        <v>0</v>
      </c>
      <c r="EH17" s="76">
        <f t="shared" si="40"/>
        <v>0</v>
      </c>
      <c r="EI17" s="76">
        <f t="shared" si="27"/>
        <v>0</v>
      </c>
      <c r="EJ17" s="76">
        <f t="shared" si="27"/>
        <v>0</v>
      </c>
      <c r="EK17" s="738">
        <f t="shared" si="28"/>
        <v>0</v>
      </c>
      <c r="EL17" s="50">
        <v>6.34</v>
      </c>
      <c r="EM17" s="50">
        <f t="shared" si="29"/>
        <v>0</v>
      </c>
      <c r="EN17" s="475">
        <f t="shared" si="41"/>
        <v>0</v>
      </c>
      <c r="EO17" s="50">
        <v>138.4</v>
      </c>
      <c r="EP17" s="475">
        <f t="shared" si="30"/>
        <v>0</v>
      </c>
      <c r="ER17" s="50" t="s">
        <v>199</v>
      </c>
      <c r="ES17" s="76">
        <f>SUM(EK25:EK26)</f>
        <v>15250.10139615673</v>
      </c>
      <c r="ET17" s="76">
        <f>SUM(EN25:EN26)</f>
        <v>15065.724382352713</v>
      </c>
      <c r="EU17" s="76">
        <f>SUM(EP25:EP26)</f>
        <v>16311.848583951218</v>
      </c>
      <c r="EW17" s="50" t="s">
        <v>199</v>
      </c>
      <c r="EX17" s="76">
        <f t="shared" si="46"/>
        <v>14834.115865725493</v>
      </c>
      <c r="EY17" s="76">
        <f t="shared" si="46"/>
        <v>14654.768206670942</v>
      </c>
      <c r="EZ17" s="76">
        <f t="shared" si="46"/>
        <v>15866.901182669084</v>
      </c>
      <c r="FB17" s="50" t="s">
        <v>199</v>
      </c>
      <c r="FC17" s="76">
        <f t="shared" si="47"/>
        <v>13734.945402734184</v>
      </c>
      <c r="FD17" s="76">
        <f t="shared" si="47"/>
        <v>13568.886951558537</v>
      </c>
      <c r="FE17" s="76">
        <f t="shared" si="47"/>
        <v>14691.203940106203</v>
      </c>
      <c r="FG17" s="50" t="s">
        <v>199</v>
      </c>
      <c r="FH17" s="76">
        <f t="shared" si="48"/>
        <v>12811.877305672975</v>
      </c>
      <c r="FI17" s="76">
        <f t="shared" si="49"/>
        <v>12656.978946804438</v>
      </c>
      <c r="FJ17" s="76">
        <f t="shared" si="50"/>
        <v>13703.869715841109</v>
      </c>
    </row>
    <row r="18" spans="1:166" ht="16.5" customHeight="1" thickBot="1" x14ac:dyDescent="0.8">
      <c r="A18" s="883"/>
      <c r="B18" s="396" t="s">
        <v>20</v>
      </c>
      <c r="C18" s="397">
        <v>38566</v>
      </c>
      <c r="D18" s="398">
        <v>40513</v>
      </c>
      <c r="E18" s="399">
        <v>39439.63451437137</v>
      </c>
      <c r="F18" s="400">
        <v>118518.63451437137</v>
      </c>
      <c r="G18" s="439">
        <v>921323.80025215249</v>
      </c>
      <c r="H18" s="402"/>
      <c r="I18" s="394"/>
      <c r="J18" s="394"/>
      <c r="K18" s="394"/>
      <c r="L18" s="394"/>
      <c r="M18" s="581"/>
      <c r="O18" s="248">
        <v>2012</v>
      </c>
      <c r="Q18" s="124">
        <v>4.235182</v>
      </c>
      <c r="R18" s="740">
        <f>Q18*365*0.65</f>
        <v>1004.7969295</v>
      </c>
      <c r="S18" s="121">
        <f>Q18/0.16</f>
        <v>26.469887499999999</v>
      </c>
      <c r="T18" s="121">
        <f>S18/0.0194</f>
        <v>1364.4271907216494</v>
      </c>
      <c r="U18" s="740">
        <f>T18*$U$16</f>
        <v>886.87767396907213</v>
      </c>
      <c r="V18" s="129">
        <f t="shared" ref="V18:V23" si="56">V19/(1+P19)</f>
        <v>978611.36711768457</v>
      </c>
      <c r="W18" s="50">
        <f t="shared" ref="W18:W24" si="57">V18/10^6*$W$16</f>
        <v>4.8636984945748925</v>
      </c>
      <c r="X18" s="475">
        <f>W18/$S$16/$T$16*$U$16</f>
        <v>1018.4935636190979</v>
      </c>
      <c r="AA18" s="720" t="s">
        <v>193</v>
      </c>
      <c r="AB18" s="714">
        <v>1720</v>
      </c>
      <c r="AC18" s="712">
        <v>790</v>
      </c>
      <c r="AD18" s="713">
        <v>0.46</v>
      </c>
      <c r="AE18" s="712">
        <v>113.91</v>
      </c>
      <c r="AF18" s="721">
        <v>41576</v>
      </c>
      <c r="AH18" s="162">
        <f t="shared" si="52"/>
        <v>0.98341909662664384</v>
      </c>
      <c r="AI18" s="162">
        <f t="shared" si="52"/>
        <v>0.99371069182389937</v>
      </c>
      <c r="AK18" s="76">
        <f t="shared" si="51"/>
        <v>71.510720000000006</v>
      </c>
      <c r="AL18" s="162">
        <f t="shared" si="4"/>
        <v>1.7159932342180346E-2</v>
      </c>
      <c r="AO18" s="50" t="s">
        <v>472</v>
      </c>
      <c r="AP18" s="255">
        <f>AL28</f>
        <v>5.027254279090323E-3</v>
      </c>
      <c r="AQ18" s="76">
        <f t="shared" si="8"/>
        <v>6.1070325386311017</v>
      </c>
      <c r="AR18" s="50">
        <v>3</v>
      </c>
      <c r="AS18" s="50">
        <f t="shared" ref="AS18:AS28" si="58">AR18/100</f>
        <v>0.03</v>
      </c>
      <c r="AT18" s="50">
        <v>0.75</v>
      </c>
      <c r="AU18" s="50">
        <f t="shared" ref="AU18:AU28" si="59">AT18*AS18</f>
        <v>2.2499999999999999E-2</v>
      </c>
      <c r="AV18" s="50">
        <v>44.3</v>
      </c>
      <c r="AW18" s="50">
        <f t="shared" ref="AW18:AW28" si="60">AV18*AU18</f>
        <v>0.99674999999999991</v>
      </c>
      <c r="AX18" s="50">
        <v>72.416541095972974</v>
      </c>
      <c r="AY18" s="50">
        <f>7.87852632644844/1000</f>
        <v>7.8785263264484397E-3</v>
      </c>
      <c r="AZ18" s="50">
        <f>0.93521034397128/1000</f>
        <v>9.3521034397127997E-4</v>
      </c>
      <c r="BA18" s="76">
        <f t="shared" si="12"/>
        <v>6.08718468288055</v>
      </c>
      <c r="BB18" s="76">
        <f t="shared" si="13"/>
        <v>440.81285974659659</v>
      </c>
      <c r="BC18" s="76">
        <f t="shared" si="14"/>
        <v>4.7958044778028112E-2</v>
      </c>
      <c r="BD18" s="76">
        <f t="shared" si="15"/>
        <v>5.692798081093426E-3</v>
      </c>
      <c r="BE18" s="738">
        <f t="shared" si="31"/>
        <v>443.66427649187114</v>
      </c>
      <c r="BF18" s="50">
        <v>2.34</v>
      </c>
      <c r="BG18" s="50">
        <f t="shared" si="16"/>
        <v>428713.68421190331</v>
      </c>
      <c r="BH18" s="738">
        <f t="shared" ref="BH18:BH28" si="61">BG18/1000</f>
        <v>428.71368421190328</v>
      </c>
      <c r="BI18" s="50">
        <v>2</v>
      </c>
      <c r="BJ18" s="738">
        <f t="shared" si="18"/>
        <v>12.214065077262203</v>
      </c>
      <c r="BL18" s="50" t="s">
        <v>201</v>
      </c>
      <c r="BM18" s="76">
        <f>SUM(BE27:BE28)</f>
        <v>28749.466788112724</v>
      </c>
      <c r="BN18" s="76">
        <f>SUM(BH27:BH28)</f>
        <v>28374.106250652443</v>
      </c>
      <c r="BO18" s="76">
        <f>SUM(BJ27:BJ28)</f>
        <v>30873.337996540809</v>
      </c>
      <c r="BQ18" s="175" t="s">
        <v>193</v>
      </c>
      <c r="BR18" s="198">
        <v>1765</v>
      </c>
      <c r="BS18" s="176">
        <v>983</v>
      </c>
      <c r="BT18" s="177">
        <v>0.56000000000000005</v>
      </c>
      <c r="BU18" s="176">
        <v>127.72</v>
      </c>
      <c r="BV18" s="178">
        <v>46616</v>
      </c>
      <c r="BX18" s="162">
        <f t="shared" si="53"/>
        <v>0.9849330357142857</v>
      </c>
      <c r="BY18" s="162">
        <f t="shared" si="53"/>
        <v>0.99493927125506076</v>
      </c>
      <c r="CA18" s="76">
        <f t="shared" si="1"/>
        <v>82.277240000000006</v>
      </c>
      <c r="CB18" s="162">
        <f t="shared" si="6"/>
        <v>1.9369703963901069E-2</v>
      </c>
      <c r="CE18" s="50" t="s">
        <v>472</v>
      </c>
      <c r="CF18" s="189">
        <v>0</v>
      </c>
      <c r="CG18" s="76">
        <f t="shared" si="19"/>
        <v>0</v>
      </c>
      <c r="CH18" s="50">
        <v>3</v>
      </c>
      <c r="CI18" s="50">
        <f t="shared" ref="CI18:CI28" si="62">CH18/100</f>
        <v>0.03</v>
      </c>
      <c r="CJ18" s="50">
        <v>0.75</v>
      </c>
      <c r="CK18" s="50">
        <f t="shared" ref="CK18:CK28" si="63">CJ18*CI18</f>
        <v>2.2499999999999999E-2</v>
      </c>
      <c r="CL18" s="50">
        <v>44.3</v>
      </c>
      <c r="CM18" s="50">
        <f t="shared" ref="CM18:CM28" si="64">CL18*CK18</f>
        <v>0.99674999999999991</v>
      </c>
      <c r="CN18" s="50">
        <v>72.416541095972974</v>
      </c>
      <c r="CO18" s="50">
        <f t="shared" si="42"/>
        <v>7.8785263264484397E-3</v>
      </c>
      <c r="CP18" s="50">
        <f t="shared" si="43"/>
        <v>9.3521034397127997E-4</v>
      </c>
      <c r="CQ18" s="76">
        <f t="shared" si="20"/>
        <v>0</v>
      </c>
      <c r="CR18" s="76">
        <f t="shared" si="35"/>
        <v>0</v>
      </c>
      <c r="CS18" s="76">
        <f t="shared" si="21"/>
        <v>0</v>
      </c>
      <c r="CT18" s="76">
        <f t="shared" si="21"/>
        <v>0</v>
      </c>
      <c r="CU18" s="738">
        <f t="shared" si="22"/>
        <v>0</v>
      </c>
      <c r="CV18" s="50">
        <v>2.34</v>
      </c>
      <c r="CW18" s="50">
        <f t="shared" si="23"/>
        <v>0</v>
      </c>
      <c r="CX18" s="475">
        <f t="shared" ref="CX18:CX28" si="65">CW18/1000</f>
        <v>0</v>
      </c>
      <c r="CY18" s="50">
        <v>2</v>
      </c>
      <c r="CZ18" s="475">
        <f t="shared" si="24"/>
        <v>0</v>
      </c>
      <c r="DB18" s="50" t="s">
        <v>201</v>
      </c>
      <c r="DC18" s="76">
        <f>SUM(CU27:CU28)</f>
        <v>32891.608494458364</v>
      </c>
      <c r="DD18" s="76">
        <f>SUM(CX27:CX28)</f>
        <v>32456.919260792463</v>
      </c>
      <c r="DE18" s="76">
        <f>SUM(CZ27:CZ28)</f>
        <v>35272.265041710292</v>
      </c>
      <c r="DG18" s="720" t="s">
        <v>193</v>
      </c>
      <c r="DH18" s="714">
        <v>1723</v>
      </c>
      <c r="DI18" s="712">
        <v>946</v>
      </c>
      <c r="DJ18" s="713">
        <v>0.55000000000000004</v>
      </c>
      <c r="DK18" s="712">
        <v>128.30000000000001</v>
      </c>
      <c r="DL18" s="721">
        <v>46829</v>
      </c>
      <c r="DN18" s="162">
        <f t="shared" si="54"/>
        <v>0.98457142857142854</v>
      </c>
      <c r="DO18" s="162">
        <f t="shared" si="55"/>
        <v>0.99474237644584651</v>
      </c>
      <c r="DQ18" s="76">
        <f t="shared" si="3"/>
        <v>80.686367000000004</v>
      </c>
      <c r="DR18" s="162">
        <f t="shared" si="7"/>
        <v>1.8995180717202916E-2</v>
      </c>
      <c r="DU18" s="50" t="s">
        <v>472</v>
      </c>
      <c r="DV18" s="189">
        <v>0</v>
      </c>
      <c r="DW18" s="76">
        <f t="shared" si="25"/>
        <v>0</v>
      </c>
      <c r="DX18" s="50">
        <v>3</v>
      </c>
      <c r="DY18" s="50">
        <f t="shared" ref="DY18:DY28" si="66">DX18/100</f>
        <v>0.03</v>
      </c>
      <c r="DZ18" s="50">
        <v>0.75</v>
      </c>
      <c r="EA18" s="50">
        <f t="shared" ref="EA18:EA28" si="67">DZ18*DY18</f>
        <v>2.2499999999999999E-2</v>
      </c>
      <c r="EB18" s="50">
        <v>44.3</v>
      </c>
      <c r="EC18" s="50">
        <f t="shared" ref="EC18:EC28" si="68">EB18*EA18</f>
        <v>0.99674999999999991</v>
      </c>
      <c r="ED18" s="50">
        <v>72.416541095972974</v>
      </c>
      <c r="EE18" s="50">
        <f t="shared" si="44"/>
        <v>7.8785263264484397E-3</v>
      </c>
      <c r="EF18" s="50">
        <f t="shared" si="45"/>
        <v>9.3521034397127997E-4</v>
      </c>
      <c r="EG18" s="76">
        <f t="shared" si="26"/>
        <v>0</v>
      </c>
      <c r="EH18" s="76">
        <f t="shared" si="40"/>
        <v>0</v>
      </c>
      <c r="EI18" s="76">
        <f t="shared" si="27"/>
        <v>0</v>
      </c>
      <c r="EJ18" s="76">
        <f t="shared" si="27"/>
        <v>0</v>
      </c>
      <c r="EK18" s="738">
        <f t="shared" si="28"/>
        <v>0</v>
      </c>
      <c r="EL18" s="50">
        <v>2.34</v>
      </c>
      <c r="EM18" s="50">
        <f t="shared" si="29"/>
        <v>0</v>
      </c>
      <c r="EN18" s="475">
        <f t="shared" ref="EN18:EN28" si="69">EM18/1000</f>
        <v>0</v>
      </c>
      <c r="EO18" s="50">
        <v>2</v>
      </c>
      <c r="EP18" s="475">
        <f t="shared" si="30"/>
        <v>0</v>
      </c>
      <c r="ER18" s="50" t="s">
        <v>201</v>
      </c>
      <c r="ES18" s="76">
        <f>SUM(EK27:EK28)</f>
        <v>32112.622485828502</v>
      </c>
      <c r="ET18" s="76">
        <f>SUM(EN27:EN28)</f>
        <v>31693.591822788669</v>
      </c>
      <c r="EU18" s="76">
        <f>SUM(EP27:EP28)</f>
        <v>34487.199196877154</v>
      </c>
      <c r="EW18" s="50" t="s">
        <v>201</v>
      </c>
      <c r="EX18" s="76">
        <f t="shared" si="46"/>
        <v>31236.668552717474</v>
      </c>
      <c r="EY18" s="76">
        <f t="shared" si="46"/>
        <v>30829.068023032396</v>
      </c>
      <c r="EZ18" s="76">
        <f t="shared" si="46"/>
        <v>33546.472609012228</v>
      </c>
      <c r="FB18" s="50" t="s">
        <v>201</v>
      </c>
      <c r="FC18" s="76">
        <f t="shared" si="47"/>
        <v>28922.110425614876</v>
      </c>
      <c r="FD18" s="76">
        <f t="shared" si="47"/>
        <v>28544.712064160438</v>
      </c>
      <c r="FE18" s="76">
        <f t="shared" si="47"/>
        <v>31060.763843950623</v>
      </c>
      <c r="FG18" s="50" t="s">
        <v>201</v>
      </c>
      <c r="FH18" s="76">
        <f t="shared" si="48"/>
        <v>26978.376639221231</v>
      </c>
      <c r="FI18" s="76">
        <f t="shared" si="49"/>
        <v>26626.341639405815</v>
      </c>
      <c r="FJ18" s="76">
        <f t="shared" si="50"/>
        <v>28973.300127568058</v>
      </c>
    </row>
    <row r="19" spans="1:166" ht="16.5" customHeight="1" thickBot="1" x14ac:dyDescent="0.8">
      <c r="A19" s="883"/>
      <c r="B19" s="396" t="s">
        <v>211</v>
      </c>
      <c r="C19" s="397">
        <v>41254</v>
      </c>
      <c r="D19" s="398">
        <v>41184</v>
      </c>
      <c r="E19" s="399">
        <v>38954</v>
      </c>
      <c r="F19" s="400">
        <v>121392</v>
      </c>
      <c r="G19" s="439">
        <v>1042715.8002521525</v>
      </c>
      <c r="H19" s="374"/>
      <c r="I19" s="403"/>
      <c r="J19" s="403"/>
      <c r="K19" s="403"/>
      <c r="L19" s="403"/>
      <c r="M19" s="582"/>
      <c r="O19" s="248">
        <v>2013</v>
      </c>
      <c r="P19" s="202">
        <f>M127</f>
        <v>2.8204394465260352E-2</v>
      </c>
      <c r="Q19" s="124">
        <f>Q18*(1+P19)</f>
        <v>4.3546327437601704</v>
      </c>
      <c r="R19" s="740">
        <f t="shared" ref="R19:R24" si="70">Q19*365*0.65</f>
        <v>1033.1366184571004</v>
      </c>
      <c r="S19" s="121">
        <f t="shared" ref="S19:S25" si="71">Q19/0.16</f>
        <v>27.216454648501063</v>
      </c>
      <c r="T19" s="121">
        <f t="shared" ref="T19:T25" si="72">S19/0.0194</f>
        <v>1402.9100334278899</v>
      </c>
      <c r="U19" s="740">
        <f t="shared" ref="U19:U26" si="73">T19*$U$16</f>
        <v>911.8915217281284</v>
      </c>
      <c r="V19" s="129">
        <f t="shared" si="56"/>
        <v>1006212.5081440595</v>
      </c>
      <c r="W19" s="50">
        <f t="shared" si="57"/>
        <v>5.000876165475975</v>
      </c>
      <c r="X19" s="475">
        <f t="shared" ref="X19:X25" si="74">W19/$S$16/$T$16*$U$16</f>
        <v>1047.2195578477397</v>
      </c>
      <c r="AA19" s="718" t="s">
        <v>197</v>
      </c>
      <c r="AB19" s="709">
        <v>22949</v>
      </c>
      <c r="AC19" s="709">
        <v>12126</v>
      </c>
      <c r="AD19" s="710">
        <v>0.53</v>
      </c>
      <c r="AE19" s="711">
        <v>38.15</v>
      </c>
      <c r="AF19" s="719">
        <v>13925</v>
      </c>
      <c r="AH19" s="162">
        <f t="shared" si="52"/>
        <v>0.77896201758256678</v>
      </c>
      <c r="AI19" s="162">
        <f t="shared" si="52"/>
        <v>0.79598267034265457</v>
      </c>
      <c r="AK19" s="76">
        <f t="shared" si="51"/>
        <v>319.56482499999998</v>
      </c>
      <c r="AL19" s="162">
        <f t="shared" si="4"/>
        <v>7.6683758406301913E-2</v>
      </c>
      <c r="AN19" s="50" t="s">
        <v>202</v>
      </c>
      <c r="AO19" s="50" t="s">
        <v>158</v>
      </c>
      <c r="AP19" s="255">
        <f>AL10</f>
        <v>1.4824558894126482E-4</v>
      </c>
      <c r="AQ19" s="76">
        <f t="shared" si="8"/>
        <v>0.18008650152000186</v>
      </c>
      <c r="AR19" s="50">
        <v>8</v>
      </c>
      <c r="AS19" s="50">
        <f t="shared" si="58"/>
        <v>0.08</v>
      </c>
      <c r="AT19" s="50">
        <v>0.86499999999999999</v>
      </c>
      <c r="AU19" s="50">
        <f t="shared" si="59"/>
        <v>6.9199999999999998E-2</v>
      </c>
      <c r="AV19" s="50">
        <v>44.3</v>
      </c>
      <c r="AW19" s="50">
        <f t="shared" si="60"/>
        <v>3.0655599999999996</v>
      </c>
      <c r="AX19" s="50">
        <v>72.416541095973002</v>
      </c>
      <c r="AY19" s="50">
        <f>7.87852632644844/1000</f>
        <v>7.8785263264484397E-3</v>
      </c>
      <c r="AZ19" s="50">
        <f>0.93521034397128/1000</f>
        <v>9.3521034397127997E-4</v>
      </c>
      <c r="BA19" s="76">
        <f t="shared" si="12"/>
        <v>0.55206597559965687</v>
      </c>
      <c r="BB19" s="76">
        <f t="shared" si="13"/>
        <v>39.978708409700978</v>
      </c>
      <c r="BC19" s="76">
        <f t="shared" si="14"/>
        <v>4.3494663226983383E-3</v>
      </c>
      <c r="BD19" s="76">
        <f t="shared" si="15"/>
        <v>5.1629781093539531E-4</v>
      </c>
      <c r="BE19" s="738">
        <f t="shared" si="31"/>
        <v>40.237312386634407</v>
      </c>
      <c r="BF19" s="50">
        <v>2.72</v>
      </c>
      <c r="BG19" s="50">
        <f t="shared" si="16"/>
        <v>39186.822730752407</v>
      </c>
      <c r="BH19" s="738">
        <f t="shared" si="61"/>
        <v>39.186822730752404</v>
      </c>
      <c r="BI19" s="50">
        <v>271.3</v>
      </c>
      <c r="BJ19" s="738">
        <f t="shared" si="18"/>
        <v>48.85746786237651</v>
      </c>
      <c r="BM19" s="738">
        <f>SUM(BM13:BM18)</f>
        <v>314219.62422918755</v>
      </c>
      <c r="BN19" s="738">
        <f>SUM(BN13:BN18)</f>
        <v>311994.43983959634</v>
      </c>
      <c r="BO19" s="738">
        <f>SUM(BO13:BO18)</f>
        <v>282883.58655835706</v>
      </c>
      <c r="BQ19" s="157" t="s">
        <v>197</v>
      </c>
      <c r="BR19" s="158">
        <v>22222</v>
      </c>
      <c r="BS19" s="158">
        <v>11391</v>
      </c>
      <c r="BT19" s="159">
        <v>0.51</v>
      </c>
      <c r="BU19" s="160">
        <v>39.15</v>
      </c>
      <c r="BV19" s="161">
        <v>14288</v>
      </c>
      <c r="BX19" s="162">
        <f t="shared" si="53"/>
        <v>0.76789108123984939</v>
      </c>
      <c r="BY19" s="162">
        <f t="shared" si="53"/>
        <v>0.77258545849158977</v>
      </c>
      <c r="CA19" s="76">
        <f t="shared" si="1"/>
        <v>317.50793599999997</v>
      </c>
      <c r="CB19" s="162">
        <f t="shared" si="6"/>
        <v>7.4747703332163865E-2</v>
      </c>
      <c r="CD19" s="50" t="s">
        <v>202</v>
      </c>
      <c r="CE19" s="50" t="s">
        <v>158</v>
      </c>
      <c r="CF19" s="189">
        <f>CB10</f>
        <v>2.0403494186185144E-4</v>
      </c>
      <c r="CG19" s="76">
        <f t="shared" si="19"/>
        <v>0.27603396588342649</v>
      </c>
      <c r="CH19" s="50">
        <v>8</v>
      </c>
      <c r="CI19" s="50">
        <f t="shared" si="62"/>
        <v>0.08</v>
      </c>
      <c r="CJ19" s="50">
        <v>0.86499999999999999</v>
      </c>
      <c r="CK19" s="50">
        <f t="shared" si="63"/>
        <v>6.9199999999999998E-2</v>
      </c>
      <c r="CL19" s="50">
        <v>44.3</v>
      </c>
      <c r="CM19" s="50">
        <f t="shared" si="64"/>
        <v>3.0655599999999996</v>
      </c>
      <c r="CN19" s="50">
        <v>73.367636682232202</v>
      </c>
      <c r="CO19" s="50">
        <f>0.06636778941357/1000</f>
        <v>6.6367789413569991E-5</v>
      </c>
      <c r="CP19" s="50">
        <f>2.52657658902305/1000</f>
        <v>2.5265765890230499E-3</v>
      </c>
      <c r="CQ19" s="76">
        <f t="shared" si="20"/>
        <v>0.84619868445359681</v>
      </c>
      <c r="CR19" s="76">
        <f t="shared" si="35"/>
        <v>62.083597641974343</v>
      </c>
      <c r="CS19" s="76">
        <f t="shared" si="21"/>
        <v>5.6160336091856275E-5</v>
      </c>
      <c r="CT19" s="76">
        <f t="shared" si="21"/>
        <v>2.1379857858025608E-3</v>
      </c>
      <c r="CU19" s="738">
        <f t="shared" si="22"/>
        <v>62.651736364622593</v>
      </c>
      <c r="CV19" s="50">
        <v>2.72</v>
      </c>
      <c r="CW19" s="50">
        <f t="shared" si="23"/>
        <v>60064.99097623361</v>
      </c>
      <c r="CX19" s="475">
        <f t="shared" si="65"/>
        <v>60.064990976233609</v>
      </c>
      <c r="CY19" s="50">
        <v>271.3</v>
      </c>
      <c r="CZ19" s="475">
        <f t="shared" si="24"/>
        <v>74.888014944173619</v>
      </c>
      <c r="DC19" s="738">
        <f>SUM(DC13:DC18)</f>
        <v>351387.74283085548</v>
      </c>
      <c r="DD19" s="738">
        <f>SUM(DD13:DD18)</f>
        <v>349950.67540065269</v>
      </c>
      <c r="DE19" s="738">
        <f>SUM(DE13:DE18)</f>
        <v>313037.37046740728</v>
      </c>
      <c r="DG19" s="718" t="s">
        <v>197</v>
      </c>
      <c r="DH19" s="709">
        <v>21140</v>
      </c>
      <c r="DI19" s="709">
        <v>11077</v>
      </c>
      <c r="DJ19" s="710">
        <v>0.52</v>
      </c>
      <c r="DK19" s="711">
        <v>39.590000000000003</v>
      </c>
      <c r="DL19" s="719">
        <v>14450</v>
      </c>
      <c r="DN19" s="162">
        <f t="shared" si="54"/>
        <v>0.75341245233258491</v>
      </c>
      <c r="DO19" s="162">
        <f t="shared" si="55"/>
        <v>0.75859471305300641</v>
      </c>
      <c r="DQ19" s="76">
        <f t="shared" si="3"/>
        <v>305.47300000000001</v>
      </c>
      <c r="DR19" s="162">
        <f t="shared" si="7"/>
        <v>7.1914439266129379E-2</v>
      </c>
      <c r="DT19" s="50" t="s">
        <v>202</v>
      </c>
      <c r="DU19" s="50" t="s">
        <v>158</v>
      </c>
      <c r="DV19" s="189">
        <f>DR10</f>
        <v>1.6235172042486156E-4</v>
      </c>
      <c r="DW19" s="76">
        <f t="shared" si="25"/>
        <v>0.21723324589636009</v>
      </c>
      <c r="DX19" s="50">
        <v>8</v>
      </c>
      <c r="DY19" s="50">
        <f t="shared" si="66"/>
        <v>0.08</v>
      </c>
      <c r="DZ19" s="50">
        <v>0.86499999999999999</v>
      </c>
      <c r="EA19" s="50">
        <f t="shared" si="67"/>
        <v>6.9199999999999998E-2</v>
      </c>
      <c r="EB19" s="50">
        <v>44.3</v>
      </c>
      <c r="EC19" s="50">
        <f t="shared" si="68"/>
        <v>3.0655599999999996</v>
      </c>
      <c r="ED19" s="50">
        <v>73.367636682232202</v>
      </c>
      <c r="EE19" s="50">
        <f>0.06636778941357/1000</f>
        <v>6.6367789413569991E-5</v>
      </c>
      <c r="EF19" s="50">
        <f>2.52657658902305/1000</f>
        <v>2.5265765890230499E-3</v>
      </c>
      <c r="EG19" s="76">
        <f t="shared" si="26"/>
        <v>0.66594154929004556</v>
      </c>
      <c r="EH19" s="76">
        <f t="shared" si="40"/>
        <v>48.858557639914892</v>
      </c>
      <c r="EI19" s="76">
        <f t="shared" si="27"/>
        <v>4.4197068505028287E-5</v>
      </c>
      <c r="EJ19" s="76">
        <f t="shared" si="27"/>
        <v>1.6825523280939686E-3</v>
      </c>
      <c r="EK19" s="738">
        <f t="shared" si="28"/>
        <v>49.305671524777935</v>
      </c>
      <c r="EL19" s="50">
        <v>2.72</v>
      </c>
      <c r="EM19" s="50">
        <f t="shared" si="29"/>
        <v>47269.954307047956</v>
      </c>
      <c r="EN19" s="475">
        <f t="shared" si="69"/>
        <v>47.269954307047954</v>
      </c>
      <c r="EO19" s="50">
        <v>271.3</v>
      </c>
      <c r="EP19" s="475">
        <f t="shared" si="30"/>
        <v>58.9353796116825</v>
      </c>
      <c r="ES19" s="738">
        <f>SUM(ES13:ES18)</f>
        <v>345502.25418353896</v>
      </c>
      <c r="ET19" s="738">
        <f>SUM(ET13:ET18)</f>
        <v>342849.86239102727</v>
      </c>
      <c r="EU19" s="738">
        <f>SUM(EU13:EU18)</f>
        <v>309715.36567476875</v>
      </c>
      <c r="EX19" s="738">
        <f>SUM(EX13:EX18)</f>
        <v>336077.79629056074</v>
      </c>
      <c r="EY19" s="738">
        <f>SUM(EY13:EY18)</f>
        <v>333497.75526989362</v>
      </c>
      <c r="EZ19" s="738">
        <f>SUM(EZ13:EZ18)</f>
        <v>301267.08672067651</v>
      </c>
      <c r="FC19" s="738">
        <f>SUM(FC13:FC18)</f>
        <v>311175.28168884345</v>
      </c>
      <c r="FD19" s="738">
        <f>SUM(FD13:FD18)</f>
        <v>308786.41518163524</v>
      </c>
      <c r="FE19" s="738">
        <f>SUM(FE13:FE18)</f>
        <v>278943.95764495432</v>
      </c>
      <c r="FH19" s="738">
        <f t="shared" si="48"/>
        <v>290262.49560206168</v>
      </c>
      <c r="FI19" s="738">
        <f t="shared" si="49"/>
        <v>288034.17479753267</v>
      </c>
      <c r="FJ19" s="738">
        <f t="shared" si="50"/>
        <v>260197.30371804512</v>
      </c>
    </row>
    <row r="20" spans="1:166" ht="16.5" customHeight="1" thickBot="1" x14ac:dyDescent="0.8">
      <c r="A20" s="883"/>
      <c r="B20" s="396" t="s">
        <v>213</v>
      </c>
      <c r="C20" s="397">
        <v>39454</v>
      </c>
      <c r="D20" s="398">
        <v>39405</v>
      </c>
      <c r="E20" s="399">
        <v>37215</v>
      </c>
      <c r="F20" s="400">
        <v>116074</v>
      </c>
      <c r="G20" s="439">
        <v>1158789.8002521526</v>
      </c>
      <c r="H20" s="374"/>
      <c r="I20" s="403"/>
      <c r="J20" s="403"/>
      <c r="K20" s="403"/>
      <c r="L20" s="403"/>
      <c r="M20" s="582"/>
      <c r="O20" s="248">
        <v>2014</v>
      </c>
      <c r="P20" s="202">
        <f>M140</f>
        <v>2.9891451882241293E-2</v>
      </c>
      <c r="Q20" s="124">
        <f t="shared" ref="Q20:Q25" si="75">Q19*(1+P20)</f>
        <v>4.48479903888511</v>
      </c>
      <c r="R20" s="740">
        <f t="shared" si="70"/>
        <v>1064.0185719754925</v>
      </c>
      <c r="S20" s="121">
        <f t="shared" si="71"/>
        <v>28.029993993031937</v>
      </c>
      <c r="T20" s="121">
        <f t="shared" si="72"/>
        <v>1444.8450511872131</v>
      </c>
      <c r="U20" s="740">
        <f t="shared" si="73"/>
        <v>939.14928327168855</v>
      </c>
      <c r="V20" s="129">
        <f t="shared" si="56"/>
        <v>1036289.6609145569</v>
      </c>
      <c r="W20" s="50">
        <f t="shared" si="57"/>
        <v>5.150359614745347</v>
      </c>
      <c r="X20" s="475">
        <f t="shared" si="74"/>
        <v>1078.5224708712874</v>
      </c>
      <c r="AA20" s="720" t="s">
        <v>199</v>
      </c>
      <c r="AB20" s="714">
        <v>5446</v>
      </c>
      <c r="AC20" s="714">
        <v>2797</v>
      </c>
      <c r="AD20" s="713">
        <v>0.51</v>
      </c>
      <c r="AE20" s="712">
        <v>39.17</v>
      </c>
      <c r="AF20" s="721">
        <v>14297</v>
      </c>
      <c r="AH20" s="162">
        <f t="shared" si="52"/>
        <v>0.89675613370657004</v>
      </c>
      <c r="AI20" s="162">
        <f t="shared" si="52"/>
        <v>0.95853324194653877</v>
      </c>
      <c r="AK20" s="76">
        <f t="shared" si="51"/>
        <v>77.861462000000003</v>
      </c>
      <c r="AL20" s="162">
        <f t="shared" si="4"/>
        <v>1.8683875927738472E-2</v>
      </c>
      <c r="AO20" s="50" t="s">
        <v>25</v>
      </c>
      <c r="AP20" s="255">
        <f>AL17</f>
        <v>6.6202539587496955E-3</v>
      </c>
      <c r="AQ20" s="76">
        <f t="shared" si="8"/>
        <v>8.042184479954642</v>
      </c>
      <c r="AR20" s="50">
        <v>10.5</v>
      </c>
      <c r="AS20" s="50">
        <f t="shared" si="58"/>
        <v>0.105</v>
      </c>
      <c r="AT20" s="50">
        <v>0.75</v>
      </c>
      <c r="AU20" s="50">
        <f t="shared" si="59"/>
        <v>7.8750000000000001E-2</v>
      </c>
      <c r="AV20" s="50">
        <v>43</v>
      </c>
      <c r="AW20" s="50">
        <f t="shared" si="60"/>
        <v>3.38625</v>
      </c>
      <c r="AX20" s="50">
        <v>73.367636682232202</v>
      </c>
      <c r="AY20" s="50">
        <f>0.06636778941357/1000</f>
        <v>6.6367789413569991E-5</v>
      </c>
      <c r="AZ20" s="50">
        <f>2.52657658902305/1000</f>
        <v>2.5265765890230499E-3</v>
      </c>
      <c r="BA20" s="76">
        <f t="shared" si="12"/>
        <v>27.232847195246407</v>
      </c>
      <c r="BB20" s="76">
        <f t="shared" si="13"/>
        <v>1998.0096388435848</v>
      </c>
      <c r="BC20" s="76">
        <f t="shared" si="14"/>
        <v>1.8073838677860436E-3</v>
      </c>
      <c r="BD20" s="76">
        <f t="shared" si="15"/>
        <v>6.8805874175951603E-2</v>
      </c>
      <c r="BE20" s="738">
        <f t="shared" si="31"/>
        <v>2016.2938022485098</v>
      </c>
      <c r="BF20" s="50">
        <v>2.34</v>
      </c>
      <c r="BG20" s="50">
        <f t="shared" si="16"/>
        <v>1975964.7267248551</v>
      </c>
      <c r="BH20" s="738">
        <f t="shared" si="61"/>
        <v>1975.9647267248552</v>
      </c>
      <c r="BI20" s="50">
        <v>239.5</v>
      </c>
      <c r="BJ20" s="738">
        <f t="shared" si="18"/>
        <v>1926.1031829491367</v>
      </c>
      <c r="BQ20" s="175" t="s">
        <v>199</v>
      </c>
      <c r="BR20" s="198">
        <v>5250</v>
      </c>
      <c r="BS20" s="198">
        <v>2769</v>
      </c>
      <c r="BT20" s="177">
        <v>0.53</v>
      </c>
      <c r="BU20" s="176">
        <v>40.729999999999997</v>
      </c>
      <c r="BV20" s="178">
        <v>14865</v>
      </c>
      <c r="BX20" s="162">
        <f t="shared" si="53"/>
        <v>0.89179548156956001</v>
      </c>
      <c r="BY20" s="162">
        <f t="shared" si="53"/>
        <v>0.94601981551076186</v>
      </c>
      <c r="CA20" s="76">
        <f t="shared" si="1"/>
        <v>78.041250000000005</v>
      </c>
      <c r="CB20" s="162">
        <f t="shared" si="6"/>
        <v>1.8372467397700678E-2</v>
      </c>
      <c r="CE20" s="50" t="s">
        <v>25</v>
      </c>
      <c r="CF20" s="189">
        <f>CB17</f>
        <v>8.3307762096524827E-3</v>
      </c>
      <c r="CG20" s="76">
        <f t="shared" si="19"/>
        <v>11.270506782091662</v>
      </c>
      <c r="CH20" s="50">
        <v>10.5</v>
      </c>
      <c r="CI20" s="50">
        <f t="shared" si="62"/>
        <v>0.105</v>
      </c>
      <c r="CJ20" s="50">
        <v>0.75</v>
      </c>
      <c r="CK20" s="50">
        <f t="shared" si="63"/>
        <v>7.8750000000000001E-2</v>
      </c>
      <c r="CL20" s="50">
        <v>43</v>
      </c>
      <c r="CM20" s="50">
        <f t="shared" si="64"/>
        <v>3.38625</v>
      </c>
      <c r="CN20" s="50">
        <v>72.416541095972974</v>
      </c>
      <c r="CO20" s="50">
        <f>7.87852632644844/1000</f>
        <v>7.8785263264484397E-3</v>
      </c>
      <c r="CP20" s="50">
        <f>0.93521034397128/1000</f>
        <v>9.3521034397127997E-4</v>
      </c>
      <c r="CQ20" s="76">
        <f t="shared" si="20"/>
        <v>38.164753590857892</v>
      </c>
      <c r="CR20" s="76">
        <f t="shared" si="35"/>
        <v>2763.7594468300426</v>
      </c>
      <c r="CS20" s="76">
        <f t="shared" si="21"/>
        <v>0.30068201590799154</v>
      </c>
      <c r="CT20" s="76">
        <f t="shared" si="21"/>
        <v>3.5692072333285349E-2</v>
      </c>
      <c r="CU20" s="738">
        <f t="shared" si="22"/>
        <v>2781.6369424437871</v>
      </c>
      <c r="CV20" s="50">
        <v>2.34</v>
      </c>
      <c r="CW20" s="50">
        <f t="shared" si="23"/>
        <v>2769163.5163599211</v>
      </c>
      <c r="CX20" s="475">
        <f t="shared" si="65"/>
        <v>2769.1635163599212</v>
      </c>
      <c r="CY20" s="50">
        <v>239.5</v>
      </c>
      <c r="CZ20" s="475">
        <f t="shared" si="24"/>
        <v>2699.2863743109529</v>
      </c>
      <c r="DG20" s="720" t="s">
        <v>199</v>
      </c>
      <c r="DH20" s="714">
        <v>5103</v>
      </c>
      <c r="DI20" s="714">
        <v>2638</v>
      </c>
      <c r="DJ20" s="713">
        <v>0.52</v>
      </c>
      <c r="DK20" s="712">
        <v>42.36</v>
      </c>
      <c r="DL20" s="721">
        <v>15461</v>
      </c>
      <c r="DN20" s="162">
        <f t="shared" si="54"/>
        <v>0.88778705636743216</v>
      </c>
      <c r="DO20" s="162">
        <f t="shared" si="55"/>
        <v>0.95063063063063058</v>
      </c>
      <c r="DQ20" s="76">
        <f t="shared" si="3"/>
        <v>78.897482999999994</v>
      </c>
      <c r="DR20" s="162">
        <f t="shared" si="7"/>
        <v>1.8574041730215027E-2</v>
      </c>
      <c r="DU20" s="50" t="s">
        <v>25</v>
      </c>
      <c r="DV20" s="189">
        <f>DR17</f>
        <v>8.9130672169853535E-3</v>
      </c>
      <c r="DW20" s="76">
        <f t="shared" si="25"/>
        <v>11.926048688435488</v>
      </c>
      <c r="DX20" s="50">
        <v>10.5</v>
      </c>
      <c r="DY20" s="50">
        <f t="shared" si="66"/>
        <v>0.105</v>
      </c>
      <c r="DZ20" s="50">
        <v>0.75</v>
      </c>
      <c r="EA20" s="50">
        <f t="shared" si="67"/>
        <v>7.8750000000000001E-2</v>
      </c>
      <c r="EB20" s="50">
        <v>43</v>
      </c>
      <c r="EC20" s="50">
        <f t="shared" si="68"/>
        <v>3.38625</v>
      </c>
      <c r="ED20" s="50">
        <v>72.416541095972974</v>
      </c>
      <c r="EE20" s="50">
        <f>7.87852632644844/1000</f>
        <v>7.8785263264484397E-3</v>
      </c>
      <c r="EF20" s="50">
        <f>0.93521034397128/1000</f>
        <v>9.3521034397127997E-4</v>
      </c>
      <c r="EG20" s="76">
        <f t="shared" si="26"/>
        <v>40.38458237121467</v>
      </c>
      <c r="EH20" s="76">
        <f t="shared" si="40"/>
        <v>2924.5117689287727</v>
      </c>
      <c r="EI20" s="76">
        <f t="shared" si="27"/>
        <v>0.31817099539424032</v>
      </c>
      <c r="EJ20" s="76">
        <f t="shared" si="27"/>
        <v>3.7768079170520164E-2</v>
      </c>
      <c r="EK20" s="738">
        <f t="shared" si="28"/>
        <v>2943.4290977799992</v>
      </c>
      <c r="EL20" s="50">
        <v>2.34</v>
      </c>
      <c r="EM20" s="50">
        <f t="shared" si="29"/>
        <v>2930230.162748599</v>
      </c>
      <c r="EN20" s="475">
        <f t="shared" si="69"/>
        <v>2930.230162748599</v>
      </c>
      <c r="EO20" s="50">
        <v>239.5</v>
      </c>
      <c r="EP20" s="475">
        <f t="shared" si="30"/>
        <v>2856.2886608802996</v>
      </c>
    </row>
    <row r="21" spans="1:166" ht="16.5" customHeight="1" thickBot="1" x14ac:dyDescent="0.8">
      <c r="A21" s="883"/>
      <c r="B21" s="396" t="s">
        <v>216</v>
      </c>
      <c r="C21" s="397">
        <v>39646</v>
      </c>
      <c r="D21" s="398">
        <v>41051</v>
      </c>
      <c r="E21" s="399">
        <v>37101</v>
      </c>
      <c r="F21" s="400">
        <v>117798</v>
      </c>
      <c r="G21" s="439">
        <v>1276587.8002521526</v>
      </c>
      <c r="H21" s="374"/>
      <c r="I21" s="403"/>
      <c r="J21" s="403"/>
      <c r="K21" s="403"/>
      <c r="L21" s="403"/>
      <c r="M21" s="582"/>
      <c r="O21" s="248">
        <v>2015</v>
      </c>
      <c r="P21" s="202">
        <f>M153</f>
        <v>4.227000115618762E-2</v>
      </c>
      <c r="Q21" s="124">
        <f t="shared" si="75"/>
        <v>4.6743714994440531</v>
      </c>
      <c r="R21" s="740">
        <f t="shared" si="70"/>
        <v>1108.9946382431017</v>
      </c>
      <c r="S21" s="121">
        <f t="shared" si="71"/>
        <v>29.214821871525331</v>
      </c>
      <c r="T21" s="121">
        <f t="shared" si="72"/>
        <v>1505.9186531714088</v>
      </c>
      <c r="U21" s="740">
        <f t="shared" si="73"/>
        <v>978.84712456141574</v>
      </c>
      <c r="V21" s="129">
        <f t="shared" si="56"/>
        <v>1080093.6260795605</v>
      </c>
      <c r="W21" s="50">
        <f t="shared" si="57"/>
        <v>5.3680653216154148</v>
      </c>
      <c r="X21" s="475">
        <f t="shared" si="74"/>
        <v>1124.1116169619909</v>
      </c>
      <c r="AA21" s="718" t="s">
        <v>201</v>
      </c>
      <c r="AB21" s="709">
        <v>7007</v>
      </c>
      <c r="AC21" s="709">
        <v>3443</v>
      </c>
      <c r="AD21" s="710">
        <v>0.49</v>
      </c>
      <c r="AE21" s="711">
        <v>64.42</v>
      </c>
      <c r="AF21" s="719">
        <v>23513</v>
      </c>
      <c r="AH21" s="162">
        <f t="shared" si="52"/>
        <v>0.99531250000000004</v>
      </c>
      <c r="AI21" s="162">
        <f t="shared" si="52"/>
        <v>0.99681528662420382</v>
      </c>
      <c r="AK21" s="76">
        <f t="shared" si="51"/>
        <v>164.75559100000001</v>
      </c>
      <c r="AL21" s="162">
        <f t="shared" si="4"/>
        <v>3.9535258413786592E-2</v>
      </c>
      <c r="AN21" s="50" t="s">
        <v>209</v>
      </c>
      <c r="AO21" s="50" t="s">
        <v>158</v>
      </c>
      <c r="AP21" s="255">
        <f>AL12</f>
        <v>1.4732857964463981E-2</v>
      </c>
      <c r="AQ21" s="76">
        <f t="shared" si="8"/>
        <v>17.897253248207019</v>
      </c>
      <c r="AR21" s="50">
        <v>12</v>
      </c>
      <c r="AS21" s="50">
        <f t="shared" si="58"/>
        <v>0.12</v>
      </c>
      <c r="AT21" s="50">
        <v>0.75</v>
      </c>
      <c r="AU21" s="50">
        <f t="shared" si="59"/>
        <v>0.09</v>
      </c>
      <c r="AV21" s="50">
        <v>44.3</v>
      </c>
      <c r="AW21" s="50">
        <f t="shared" si="60"/>
        <v>3.9869999999999997</v>
      </c>
      <c r="AX21" s="50">
        <v>72.416541095973002</v>
      </c>
      <c r="AY21" s="50">
        <f>7.87852632644844/1000</f>
        <v>7.8785263264484397E-3</v>
      </c>
      <c r="AZ21" s="50">
        <f>0.93521034397128/1000</f>
        <v>9.3521034397127997E-4</v>
      </c>
      <c r="BA21" s="76">
        <f t="shared" si="12"/>
        <v>71.356348700601373</v>
      </c>
      <c r="BB21" s="76">
        <f t="shared" si="13"/>
        <v>5167.3799581356789</v>
      </c>
      <c r="BC21" s="76">
        <f t="shared" si="14"/>
        <v>0.56218287179692283</v>
      </c>
      <c r="BD21" s="76">
        <f t="shared" si="15"/>
        <v>6.6733195412824006E-2</v>
      </c>
      <c r="BE21" s="738">
        <f t="shared" si="31"/>
        <v>5200.8053753303911</v>
      </c>
      <c r="BF21" s="50">
        <v>2.34</v>
      </c>
      <c r="BG21" s="50">
        <f t="shared" si="16"/>
        <v>5025548.7120965309</v>
      </c>
      <c r="BH21" s="738">
        <f t="shared" si="61"/>
        <v>5025.5487120965308</v>
      </c>
      <c r="BI21" s="50">
        <v>271.3</v>
      </c>
      <c r="BJ21" s="738">
        <f t="shared" si="18"/>
        <v>4855.5248062385645</v>
      </c>
      <c r="BL21" s="739" t="s">
        <v>169</v>
      </c>
      <c r="BM21" s="76">
        <f>BM13</f>
        <v>218748.33750437558</v>
      </c>
      <c r="BN21" s="76">
        <f>BN13</f>
        <v>217845.84638304246</v>
      </c>
      <c r="BO21" s="76">
        <f>BO13</f>
        <v>191263.33526185903</v>
      </c>
      <c r="BQ21" s="157" t="s">
        <v>201</v>
      </c>
      <c r="BR21" s="158">
        <v>6919</v>
      </c>
      <c r="BS21" s="158">
        <v>3391</v>
      </c>
      <c r="BT21" s="159">
        <v>0.49</v>
      </c>
      <c r="BU21" s="160">
        <v>67.87</v>
      </c>
      <c r="BV21" s="161">
        <v>24772</v>
      </c>
      <c r="BX21" s="162">
        <f t="shared" si="53"/>
        <v>0.99396638414020977</v>
      </c>
      <c r="BY21" s="162">
        <f t="shared" si="53"/>
        <v>0.99793996468510893</v>
      </c>
      <c r="CA21" s="76">
        <f t="shared" si="1"/>
        <v>171.397468</v>
      </c>
      <c r="CB21" s="162">
        <f t="shared" si="6"/>
        <v>4.0350383840320928E-2</v>
      </c>
      <c r="CD21" s="50" t="s">
        <v>209</v>
      </c>
      <c r="CE21" s="50" t="s">
        <v>158</v>
      </c>
      <c r="CF21" s="189">
        <f>CB12</f>
        <v>1.5713350297990199E-2</v>
      </c>
      <c r="CG21" s="76">
        <f t="shared" si="19"/>
        <v>21.258213718151023</v>
      </c>
      <c r="CH21" s="50">
        <v>12</v>
      </c>
      <c r="CI21" s="50">
        <f t="shared" si="62"/>
        <v>0.12</v>
      </c>
      <c r="CJ21" s="50">
        <v>0.75</v>
      </c>
      <c r="CK21" s="50">
        <f t="shared" si="63"/>
        <v>0.09</v>
      </c>
      <c r="CL21" s="50">
        <v>44.3</v>
      </c>
      <c r="CM21" s="50">
        <f t="shared" si="64"/>
        <v>3.9869999999999997</v>
      </c>
      <c r="CN21" s="50">
        <v>72.513754762763227</v>
      </c>
      <c r="CO21" s="50">
        <f>6.43681969225972/1000</f>
        <v>6.4368196922597199E-3</v>
      </c>
      <c r="CP21" s="50">
        <f>1.22219082236233/1000</f>
        <v>1.2221908223623299E-3</v>
      </c>
      <c r="CQ21" s="76">
        <f t="shared" si="20"/>
        <v>84.756498094268125</v>
      </c>
      <c r="CR21" s="76">
        <f t="shared" si="35"/>
        <v>6146.011917358368</v>
      </c>
      <c r="CS21" s="76">
        <f t="shared" si="21"/>
        <v>0.54556229598015848</v>
      </c>
      <c r="CT21" s="76">
        <f t="shared" si="21"/>
        <v>0.1035886141063848</v>
      </c>
      <c r="CU21" s="738">
        <f t="shared" si="22"/>
        <v>6188.7386443840041</v>
      </c>
      <c r="CV21" s="50">
        <v>2.34</v>
      </c>
      <c r="CW21" s="50">
        <f t="shared" si="23"/>
        <v>5969306.4120568065</v>
      </c>
      <c r="CX21" s="475">
        <f t="shared" si="65"/>
        <v>5969.3064120568069</v>
      </c>
      <c r="CY21" s="50">
        <v>271.3</v>
      </c>
      <c r="CZ21" s="475">
        <f t="shared" si="24"/>
        <v>5767.3533817343732</v>
      </c>
      <c r="DB21" s="739" t="s">
        <v>169</v>
      </c>
      <c r="DC21" s="76">
        <f>DC13</f>
        <v>242474.11516524735</v>
      </c>
      <c r="DD21" s="76">
        <f>DD13</f>
        <v>242484.6847124933</v>
      </c>
      <c r="DE21" s="76">
        <f>DE13</f>
        <v>207450.76978100301</v>
      </c>
      <c r="DG21" s="718" t="s">
        <v>201</v>
      </c>
      <c r="DH21" s="709">
        <v>6696</v>
      </c>
      <c r="DI21" s="709">
        <v>3224</v>
      </c>
      <c r="DJ21" s="710">
        <v>0.48</v>
      </c>
      <c r="DK21" s="711">
        <v>69.7</v>
      </c>
      <c r="DL21" s="719">
        <v>25441</v>
      </c>
      <c r="DN21" s="162">
        <f t="shared" si="54"/>
        <v>0.99420935412026723</v>
      </c>
      <c r="DO21" s="162">
        <f t="shared" si="55"/>
        <v>0.99721620785648002</v>
      </c>
      <c r="DQ21" s="76">
        <f t="shared" si="3"/>
        <v>170.352936</v>
      </c>
      <c r="DR21" s="162">
        <f t="shared" si="7"/>
        <v>4.0104480166099216E-2</v>
      </c>
      <c r="DT21" s="50" t="s">
        <v>209</v>
      </c>
      <c r="DU21" s="50" t="s">
        <v>158</v>
      </c>
      <c r="DV21" s="189">
        <f>DR12</f>
        <v>1.5617636549427567E-2</v>
      </c>
      <c r="DW21" s="76">
        <f t="shared" si="25"/>
        <v>20.897036828334382</v>
      </c>
      <c r="DX21" s="50">
        <v>12</v>
      </c>
      <c r="DY21" s="50">
        <f t="shared" si="66"/>
        <v>0.12</v>
      </c>
      <c r="DZ21" s="50">
        <v>0.75</v>
      </c>
      <c r="EA21" s="50">
        <f t="shared" si="67"/>
        <v>0.09</v>
      </c>
      <c r="EB21" s="50">
        <v>44.3</v>
      </c>
      <c r="EC21" s="50">
        <f t="shared" si="68"/>
        <v>3.9869999999999997</v>
      </c>
      <c r="ED21" s="50">
        <v>72.513754762763227</v>
      </c>
      <c r="EE21" s="50">
        <f>6.43681969225972/1000</f>
        <v>6.4368196922597199E-3</v>
      </c>
      <c r="EF21" s="50">
        <f>1.22219082236233/1000</f>
        <v>1.2221908223623299E-3</v>
      </c>
      <c r="EG21" s="76">
        <f t="shared" si="26"/>
        <v>83.316485834569178</v>
      </c>
      <c r="EH21" s="76">
        <f t="shared" si="40"/>
        <v>6041.5912215031858</v>
      </c>
      <c r="EI21" s="76">
        <f t="shared" si="27"/>
        <v>0.53629319670983289</v>
      </c>
      <c r="EJ21" s="76">
        <f t="shared" si="27"/>
        <v>0.10182864433849151</v>
      </c>
      <c r="EK21" s="738">
        <f t="shared" si="28"/>
        <v>6083.5920217607609</v>
      </c>
      <c r="EL21" s="50">
        <v>2.34</v>
      </c>
      <c r="EM21" s="50">
        <f t="shared" si="29"/>
        <v>5867887.9413962951</v>
      </c>
      <c r="EN21" s="475">
        <f t="shared" si="69"/>
        <v>5867.887941396295</v>
      </c>
      <c r="EO21" s="50">
        <v>271.3</v>
      </c>
      <c r="EP21" s="475">
        <f t="shared" si="30"/>
        <v>5669.3660915271184</v>
      </c>
      <c r="ER21" s="739" t="s">
        <v>169</v>
      </c>
      <c r="ES21" s="76">
        <f>ES13</f>
        <v>239772.08032304575</v>
      </c>
      <c r="ET21" s="76">
        <f>ET13</f>
        <v>238515.00702180347</v>
      </c>
      <c r="EU21" s="76">
        <f>EU13</f>
        <v>206874.0839898343</v>
      </c>
      <c r="EW21" s="739" t="s">
        <v>169</v>
      </c>
      <c r="EX21" s="76">
        <f>EX13</f>
        <v>233231.68341519832</v>
      </c>
      <c r="EY21" s="76">
        <f>EY13</f>
        <v>232008.90000426062</v>
      </c>
      <c r="EZ21" s="76">
        <f>EZ13</f>
        <v>201231.06409603378</v>
      </c>
      <c r="FB21" s="739" t="s">
        <v>169</v>
      </c>
      <c r="FC21" s="76">
        <f>FC13</f>
        <v>215949.80562994696</v>
      </c>
      <c r="FD21" s="76">
        <f>FD13</f>
        <v>214817.62737674866</v>
      </c>
      <c r="FE21" s="76">
        <f>FE13</f>
        <v>186320.35125727751</v>
      </c>
      <c r="FG21" s="739" t="s">
        <v>169</v>
      </c>
      <c r="FH21" s="76">
        <f t="shared" si="48"/>
        <v>201436.72455836937</v>
      </c>
      <c r="FI21" s="76">
        <f t="shared" si="49"/>
        <v>200380.63525893609</v>
      </c>
      <c r="FJ21" s="76">
        <f t="shared" si="50"/>
        <v>173798.54159325117</v>
      </c>
    </row>
    <row r="22" spans="1:166" ht="16.5" customHeight="1" thickBot="1" x14ac:dyDescent="0.8">
      <c r="A22" s="884"/>
      <c r="B22" s="404" t="s">
        <v>217</v>
      </c>
      <c r="C22" s="405">
        <v>40180</v>
      </c>
      <c r="D22" s="406">
        <v>42745</v>
      </c>
      <c r="E22" s="407">
        <v>36800</v>
      </c>
      <c r="F22" s="444">
        <v>119725</v>
      </c>
      <c r="G22" s="439">
        <v>1396312.8002521526</v>
      </c>
      <c r="H22" s="374"/>
      <c r="I22" s="403"/>
      <c r="J22" s="403"/>
      <c r="K22" s="403"/>
      <c r="L22" s="403"/>
      <c r="M22" s="582"/>
      <c r="O22" s="248">
        <v>2016</v>
      </c>
      <c r="P22" s="202">
        <f>M166</f>
        <v>7.2047840846281241E-2</v>
      </c>
      <c r="Q22" s="124">
        <f t="shared" si="75"/>
        <v>5.0111498732923909</v>
      </c>
      <c r="R22" s="740">
        <f t="shared" si="70"/>
        <v>1188.8953074386197</v>
      </c>
      <c r="S22" s="121">
        <f t="shared" si="71"/>
        <v>31.319686708077441</v>
      </c>
      <c r="T22" s="121">
        <f t="shared" si="72"/>
        <v>1614.4168406225485</v>
      </c>
      <c r="U22" s="740">
        <f t="shared" si="73"/>
        <v>1049.3709464046565</v>
      </c>
      <c r="V22" s="129">
        <f t="shared" si="56"/>
        <v>1157912.0397504235</v>
      </c>
      <c r="W22" s="50">
        <f t="shared" si="57"/>
        <v>5.7548228375596047</v>
      </c>
      <c r="X22" s="475">
        <f t="shared" si="74"/>
        <v>1205.1014318343246</v>
      </c>
      <c r="AA22" s="734" t="s">
        <v>467</v>
      </c>
      <c r="AB22" s="735"/>
      <c r="AC22" s="735"/>
      <c r="AD22" s="735"/>
      <c r="AE22" s="735"/>
      <c r="AF22" s="736"/>
      <c r="AG22" s="112">
        <f>SUM(AF16:AF21)</f>
        <v>130789</v>
      </c>
      <c r="AK22" s="76">
        <f t="shared" si="51"/>
        <v>0</v>
      </c>
      <c r="AL22" s="162">
        <f t="shared" si="4"/>
        <v>0</v>
      </c>
      <c r="AO22" s="50" t="s">
        <v>25</v>
      </c>
      <c r="AP22" s="255">
        <f>AL19</f>
        <v>7.6683758406301913E-2</v>
      </c>
      <c r="AQ22" s="76">
        <f t="shared" si="8"/>
        <v>93.154271054010096</v>
      </c>
      <c r="AR22" s="50">
        <v>13</v>
      </c>
      <c r="AS22" s="50">
        <f t="shared" si="58"/>
        <v>0.13</v>
      </c>
      <c r="AT22" s="50">
        <v>0.86499999999999999</v>
      </c>
      <c r="AU22" s="50">
        <f t="shared" si="59"/>
        <v>0.11245000000000001</v>
      </c>
      <c r="AV22" s="50">
        <v>43</v>
      </c>
      <c r="AW22" s="50">
        <f t="shared" si="60"/>
        <v>4.83535</v>
      </c>
      <c r="AX22" s="50">
        <v>73.367636682232202</v>
      </c>
      <c r="AY22" s="50">
        <f>0.06636778941357/1000</f>
        <v>6.6367789413569991E-5</v>
      </c>
      <c r="AZ22" s="50">
        <f>2.52657658902305/1000</f>
        <v>2.5265765890230499E-3</v>
      </c>
      <c r="BA22" s="76">
        <f t="shared" si="12"/>
        <v>450.43350454100772</v>
      </c>
      <c r="BB22" s="76">
        <f t="shared" si="13"/>
        <v>33047.241710669245</v>
      </c>
      <c r="BC22" s="76">
        <f t="shared" si="14"/>
        <v>2.9894275974193921E-2</v>
      </c>
      <c r="BD22" s="76">
        <f t="shared" si="15"/>
        <v>1.1380547474849179</v>
      </c>
      <c r="BE22" s="738">
        <f t="shared" si="31"/>
        <v>33349.663258480025</v>
      </c>
      <c r="BF22" s="50">
        <v>2.72</v>
      </c>
      <c r="BG22" s="50">
        <f t="shared" si="16"/>
        <v>32939350.244697969</v>
      </c>
      <c r="BH22" s="738">
        <f t="shared" si="61"/>
        <v>32939.350244697969</v>
      </c>
      <c r="BI22" s="50">
        <v>239.5</v>
      </c>
      <c r="BJ22" s="738">
        <f t="shared" si="18"/>
        <v>22310.447917435416</v>
      </c>
      <c r="BL22" s="129" t="s">
        <v>481</v>
      </c>
      <c r="BM22" s="76">
        <f>BM14+BM16</f>
        <v>14249.07499839491</v>
      </c>
      <c r="BN22" s="76">
        <f>BN14+BN16</f>
        <v>14055.520620562351</v>
      </c>
      <c r="BO22" s="76">
        <f>BO14+BO16</f>
        <v>18688.264494639345</v>
      </c>
      <c r="BQ22" s="849" t="s">
        <v>218</v>
      </c>
      <c r="BR22" s="850"/>
      <c r="BS22" s="850"/>
      <c r="BT22" s="850"/>
      <c r="BU22" s="850"/>
      <c r="BV22" s="851"/>
      <c r="CA22" s="76">
        <f t="shared" si="1"/>
        <v>0</v>
      </c>
      <c r="CB22" s="162">
        <f t="shared" si="6"/>
        <v>0</v>
      </c>
      <c r="CE22" s="50" t="s">
        <v>25</v>
      </c>
      <c r="CF22" s="189">
        <f>CB19</f>
        <v>7.4747703332163865E-2</v>
      </c>
      <c r="CG22" s="76">
        <f t="shared" si="19"/>
        <v>101.12437018471665</v>
      </c>
      <c r="CH22" s="50">
        <v>13</v>
      </c>
      <c r="CI22" s="50">
        <f t="shared" si="62"/>
        <v>0.13</v>
      </c>
      <c r="CJ22" s="50">
        <v>0.86499999999999999</v>
      </c>
      <c r="CK22" s="50">
        <f t="shared" si="63"/>
        <v>0.11245000000000001</v>
      </c>
      <c r="CL22" s="50">
        <v>43</v>
      </c>
      <c r="CM22" s="50">
        <f t="shared" si="64"/>
        <v>4.83535</v>
      </c>
      <c r="CN22" s="50">
        <v>73.367561400348293</v>
      </c>
      <c r="CO22" s="50">
        <f>0.36897495946676/1000</f>
        <v>3.6897495946676E-4</v>
      </c>
      <c r="CP22" s="50">
        <f>2.09444904821954/1000</f>
        <v>2.0944490482195399E-3</v>
      </c>
      <c r="CQ22" s="76">
        <f t="shared" si="20"/>
        <v>488.97172337266966</v>
      </c>
      <c r="CR22" s="76">
        <f t="shared" si="35"/>
        <v>35874.662937578461</v>
      </c>
      <c r="CS22" s="76">
        <f t="shared" si="21"/>
        <v>0.18041832181182257</v>
      </c>
      <c r="CT22" s="76">
        <f t="shared" si="21"/>
        <v>1.0241263606241562</v>
      </c>
      <c r="CU22" s="738">
        <f t="shared" si="22"/>
        <v>36151.108136154595</v>
      </c>
      <c r="CV22" s="50">
        <v>2.72</v>
      </c>
      <c r="CW22" s="50">
        <f t="shared" si="23"/>
        <v>35757577.297315814</v>
      </c>
      <c r="CX22" s="475">
        <f t="shared" si="65"/>
        <v>35757.577297315816</v>
      </c>
      <c r="CY22" s="50">
        <v>239.5</v>
      </c>
      <c r="CZ22" s="475">
        <f t="shared" si="24"/>
        <v>24219.286659239639</v>
      </c>
      <c r="DB22" s="129" t="s">
        <v>481</v>
      </c>
      <c r="DC22" s="76">
        <f>DC14+DC16</f>
        <v>18194.119507371812</v>
      </c>
      <c r="DD22" s="76">
        <f>DD14+DD16</f>
        <v>17986.908083022568</v>
      </c>
      <c r="DE22" s="76">
        <f>DE14+DE16</f>
        <v>23814.229211886148</v>
      </c>
      <c r="DG22" s="935" t="s">
        <v>218</v>
      </c>
      <c r="DH22" s="936"/>
      <c r="DI22" s="936"/>
      <c r="DJ22" s="936"/>
      <c r="DK22" s="936"/>
      <c r="DL22" s="937"/>
      <c r="DQ22" s="76">
        <f t="shared" si="3"/>
        <v>0</v>
      </c>
      <c r="DR22" s="162">
        <f t="shared" si="7"/>
        <v>0</v>
      </c>
      <c r="DU22" s="50" t="s">
        <v>25</v>
      </c>
      <c r="DV22" s="189">
        <f>DR19</f>
        <v>7.1914439266129379E-2</v>
      </c>
      <c r="DW22" s="76">
        <f t="shared" si="25"/>
        <v>96.224462714136081</v>
      </c>
      <c r="DX22" s="50">
        <v>13</v>
      </c>
      <c r="DY22" s="50">
        <f t="shared" si="66"/>
        <v>0.13</v>
      </c>
      <c r="DZ22" s="50">
        <v>0.86499999999999999</v>
      </c>
      <c r="EA22" s="50">
        <f t="shared" si="67"/>
        <v>0.11245000000000001</v>
      </c>
      <c r="EB22" s="50">
        <v>43</v>
      </c>
      <c r="EC22" s="50">
        <f t="shared" si="68"/>
        <v>4.83535</v>
      </c>
      <c r="ED22" s="50">
        <v>73.367561400348293</v>
      </c>
      <c r="EE22" s="50">
        <f>0.36897495946676/1000</f>
        <v>3.6897495946676E-4</v>
      </c>
      <c r="EF22" s="50">
        <f>2.09444904821954/1000</f>
        <v>2.0944490482195399E-3</v>
      </c>
      <c r="EG22" s="76">
        <f t="shared" si="26"/>
        <v>465.27895578479792</v>
      </c>
      <c r="EH22" s="76">
        <f t="shared" si="40"/>
        <v>34136.382356831098</v>
      </c>
      <c r="EI22" s="76">
        <f t="shared" si="27"/>
        <v>0.17167628385143222</v>
      </c>
      <c r="EJ22" s="76">
        <f t="shared" si="27"/>
        <v>0.97450306610005133</v>
      </c>
      <c r="EK22" s="738">
        <f t="shared" si="28"/>
        <v>34399.432605295449</v>
      </c>
      <c r="EL22" s="50">
        <v>2.72</v>
      </c>
      <c r="EM22" s="50">
        <f t="shared" si="29"/>
        <v>34024970.01571852</v>
      </c>
      <c r="EN22" s="475">
        <f t="shared" si="69"/>
        <v>34024.970015718522</v>
      </c>
      <c r="EO22" s="50">
        <v>239.5</v>
      </c>
      <c r="EP22" s="475">
        <f t="shared" si="30"/>
        <v>23045.758820035589</v>
      </c>
      <c r="ER22" s="129" t="s">
        <v>481</v>
      </c>
      <c r="ES22" s="76">
        <f>ES14+ES16</f>
        <v>17884.42535145174</v>
      </c>
      <c r="ET22" s="76">
        <f>ET14+ET16</f>
        <v>17682.68120696762</v>
      </c>
      <c r="EU22" s="76">
        <f>EU14+EU16</f>
        <v>23327.108992543363</v>
      </c>
      <c r="EW22" s="129" t="s">
        <v>481</v>
      </c>
      <c r="EX22" s="76">
        <f>EX14+EX16</f>
        <v>17396.581895659609</v>
      </c>
      <c r="EY22" s="76">
        <f>EY14+EY16</f>
        <v>17200.340838845172</v>
      </c>
      <c r="EZ22" s="76">
        <f>EZ14+EZ16</f>
        <v>22690.802416238501</v>
      </c>
      <c r="FB22" s="129" t="s">
        <v>481</v>
      </c>
      <c r="FC22" s="76">
        <f>FC14+FC16</f>
        <v>16107.539181567041</v>
      </c>
      <c r="FD22" s="76">
        <f>FD14+FD16</f>
        <v>15925.839090673937</v>
      </c>
      <c r="FE22" s="76">
        <f>FE14+FE16</f>
        <v>21009.47135321721</v>
      </c>
      <c r="FG22" s="129" t="s">
        <v>481</v>
      </c>
      <c r="FH22" s="76">
        <f t="shared" si="48"/>
        <v>15025.019003677719</v>
      </c>
      <c r="FI22" s="76">
        <f t="shared" si="49"/>
        <v>14855.530214119904</v>
      </c>
      <c r="FJ22" s="76">
        <f t="shared" si="50"/>
        <v>19597.512865314111</v>
      </c>
    </row>
    <row r="23" spans="1:166" ht="16.5" customHeight="1" thickBot="1" x14ac:dyDescent="0.8">
      <c r="A23" s="409" t="s">
        <v>220</v>
      </c>
      <c r="B23" s="410"/>
      <c r="C23" s="411">
        <v>39154.089654148054</v>
      </c>
      <c r="D23" s="411">
        <v>39736.608881551052</v>
      </c>
      <c r="E23" s="411">
        <v>37468.701485313599</v>
      </c>
      <c r="F23" s="412">
        <v>116359.40002101271</v>
      </c>
      <c r="G23" s="412"/>
      <c r="H23" s="413"/>
      <c r="I23" s="414"/>
      <c r="J23" s="414"/>
      <c r="K23" s="414"/>
      <c r="L23" s="414"/>
      <c r="M23" s="583"/>
      <c r="O23" s="248">
        <v>2017</v>
      </c>
      <c r="P23" s="202">
        <f>M179</f>
        <v>8.0027290299421239E-2</v>
      </c>
      <c r="Q23" s="124">
        <f>Q22*(1+P23)</f>
        <v>5.4121786189362693</v>
      </c>
      <c r="R23" s="740">
        <f>Q23*365*0.65</f>
        <v>1284.0393773426299</v>
      </c>
      <c r="S23" s="121">
        <f t="shared" si="71"/>
        <v>33.826116368351684</v>
      </c>
      <c r="T23" s="121">
        <f t="shared" si="72"/>
        <v>1743.6142457913238</v>
      </c>
      <c r="U23" s="740">
        <f t="shared" si="73"/>
        <v>1133.3492597643606</v>
      </c>
      <c r="V23" s="129">
        <f t="shared" si="56"/>
        <v>1250576.6026967256</v>
      </c>
      <c r="W23" s="50">
        <f t="shared" si="57"/>
        <v>6.2153657154027258</v>
      </c>
      <c r="X23" s="475">
        <f t="shared" si="74"/>
        <v>1301.5424339599779</v>
      </c>
      <c r="AA23" s="718" t="s">
        <v>252</v>
      </c>
      <c r="AB23" s="709">
        <v>6271</v>
      </c>
      <c r="AC23" s="711">
        <v>827</v>
      </c>
      <c r="AD23" s="710">
        <v>0.13</v>
      </c>
      <c r="AE23" s="711">
        <v>32.21</v>
      </c>
      <c r="AF23" s="719">
        <v>11755</v>
      </c>
      <c r="AH23" s="162">
        <f t="shared" ref="AH23:AI28" si="76">AB23/$AB$30</f>
        <v>2.3259091667748456E-2</v>
      </c>
      <c r="AI23" s="162">
        <f t="shared" si="76"/>
        <v>3.0673367579696974E-3</v>
      </c>
      <c r="AK23" s="76">
        <f t="shared" si="51"/>
        <v>73.715604999999996</v>
      </c>
      <c r="AL23" s="162">
        <f t="shared" si="4"/>
        <v>1.768902332913011E-2</v>
      </c>
      <c r="AN23" s="50" t="s">
        <v>215</v>
      </c>
      <c r="AO23" s="50" t="s">
        <v>158</v>
      </c>
      <c r="AP23" s="255">
        <f>AL11</f>
        <v>1.2111416374699157E-5</v>
      </c>
      <c r="AQ23" s="76">
        <f t="shared" si="8"/>
        <v>1.471276561379369E-2</v>
      </c>
      <c r="AR23" s="50">
        <v>25</v>
      </c>
      <c r="AS23" s="50">
        <f t="shared" si="58"/>
        <v>0.25</v>
      </c>
      <c r="AT23" s="50">
        <v>0.75</v>
      </c>
      <c r="AU23" s="50">
        <f t="shared" si="59"/>
        <v>0.1875</v>
      </c>
      <c r="AV23" s="50">
        <v>44.3</v>
      </c>
      <c r="AW23" s="50">
        <f t="shared" si="60"/>
        <v>8.3062499999999986</v>
      </c>
      <c r="AX23" s="50">
        <v>72.512080209241503</v>
      </c>
      <c r="AY23" s="50">
        <f>15.8206501432308/1000</f>
        <v>1.5820650143230801E-2</v>
      </c>
      <c r="AZ23" s="50">
        <f>0.84755262174617/1000</f>
        <v>8.4755262174616996E-4</v>
      </c>
      <c r="BA23" s="76">
        <f t="shared" si="12"/>
        <v>0.12220790937957382</v>
      </c>
      <c r="BB23" s="76">
        <f t="shared" si="13"/>
        <v>8.8615497271353743</v>
      </c>
      <c r="BC23" s="76">
        <f t="shared" si="14"/>
        <v>1.9334085790298913E-3</v>
      </c>
      <c r="BD23" s="76">
        <f t="shared" si="15"/>
        <v>1.0357763399277615E-4</v>
      </c>
      <c r="BE23" s="738">
        <f t="shared" si="31"/>
        <v>8.943133240356298</v>
      </c>
      <c r="BF23" s="50">
        <v>2.34</v>
      </c>
      <c r="BG23" s="50">
        <f t="shared" si="16"/>
        <v>8606.9678840693086</v>
      </c>
      <c r="BH23" s="738">
        <f t="shared" si="61"/>
        <v>8.6069678840693093</v>
      </c>
      <c r="BI23" s="50">
        <v>801.2</v>
      </c>
      <c r="BJ23" s="738">
        <f t="shared" si="18"/>
        <v>11.787867809771507</v>
      </c>
      <c r="BL23" s="739" t="s">
        <v>480</v>
      </c>
      <c r="BM23" s="76">
        <f>BM15+BM17+BM18</f>
        <v>81222.211726417096</v>
      </c>
      <c r="BN23" s="76">
        <f>BN15+BN17+BN18</f>
        <v>80093.072835991523</v>
      </c>
      <c r="BO23" s="76">
        <f>BO15+BO17+BO18</f>
        <v>72931.986801858686</v>
      </c>
      <c r="BQ23" s="157" t="s">
        <v>169</v>
      </c>
      <c r="BR23" s="158">
        <v>269825</v>
      </c>
      <c r="BS23" s="158">
        <v>126330</v>
      </c>
      <c r="BT23" s="159">
        <v>0.47</v>
      </c>
      <c r="BU23" s="160">
        <v>35.020000000000003</v>
      </c>
      <c r="BV23" s="161">
        <v>12781</v>
      </c>
      <c r="BW23" s="162">
        <f t="shared" ref="BW23:BW28" si="77">BR23/$BR$29</f>
        <v>0.85715874074780007</v>
      </c>
      <c r="BX23" s="162">
        <f>(BR23-BR16-BR9)/BR23</f>
        <v>7.0334476049291203E-2</v>
      </c>
      <c r="BY23" s="162">
        <f>(BS23-BS16-BS9)/BS23</f>
        <v>2.2496635795139712E-2</v>
      </c>
      <c r="CA23" s="76">
        <f t="shared" ref="CA23:CA28" si="78">BV23*(BR23-BR16-BR9)/1000000</f>
        <v>242.557818</v>
      </c>
      <c r="CB23" s="162">
        <f t="shared" si="6"/>
        <v>5.7102950084249225E-2</v>
      </c>
      <c r="CD23" s="50" t="s">
        <v>215</v>
      </c>
      <c r="CE23" s="50" t="s">
        <v>158</v>
      </c>
      <c r="CF23" s="189">
        <f>CB11</f>
        <v>4.12978389741252E-5</v>
      </c>
      <c r="CG23" s="76">
        <f t="shared" si="19"/>
        <v>5.587085315103231E-2</v>
      </c>
      <c r="CH23" s="50">
        <v>25</v>
      </c>
      <c r="CI23" s="50">
        <f t="shared" si="62"/>
        <v>0.25</v>
      </c>
      <c r="CJ23" s="50">
        <v>0.75</v>
      </c>
      <c r="CK23" s="50">
        <f t="shared" si="63"/>
        <v>0.1875</v>
      </c>
      <c r="CL23" s="50">
        <v>44.3</v>
      </c>
      <c r="CM23" s="50">
        <f t="shared" si="64"/>
        <v>8.3062499999999986</v>
      </c>
      <c r="CN23" s="50">
        <v>72.512080209241503</v>
      </c>
      <c r="CO23" s="50">
        <f>15.8206501432308/1000</f>
        <v>1.5820650143230801E-2</v>
      </c>
      <c r="CP23" s="50">
        <f>0.84755262174617/1000</f>
        <v>8.4755262174616996E-4</v>
      </c>
      <c r="CQ23" s="76">
        <f t="shared" si="20"/>
        <v>0.46407727398576204</v>
      </c>
      <c r="CR23" s="76">
        <f t="shared" si="35"/>
        <v>33.651208514541722</v>
      </c>
      <c r="CS23" s="76">
        <f t="shared" si="21"/>
        <v>7.3420041911530058E-3</v>
      </c>
      <c r="CT23" s="76">
        <f t="shared" si="21"/>
        <v>3.9332991025944826E-4</v>
      </c>
      <c r="CU23" s="738">
        <f t="shared" si="22"/>
        <v>33.961017058112759</v>
      </c>
      <c r="CV23" s="50">
        <v>2.34</v>
      </c>
      <c r="CW23" s="50">
        <f t="shared" si="23"/>
        <v>32684.449093353898</v>
      </c>
      <c r="CX23" s="475">
        <f t="shared" si="65"/>
        <v>32.684449093353898</v>
      </c>
      <c r="CY23" s="50">
        <v>801.2</v>
      </c>
      <c r="CZ23" s="475">
        <f t="shared" si="24"/>
        <v>44.763727544607093</v>
      </c>
      <c r="DB23" s="739" t="s">
        <v>480</v>
      </c>
      <c r="DC23" s="76">
        <f>DC15+DC17+DC18</f>
        <v>90719.508158236305</v>
      </c>
      <c r="DD23" s="76">
        <f>DD15+DD17+DD18</f>
        <v>89479.082605136849</v>
      </c>
      <c r="DE23" s="76">
        <f>DE15+DE17+DE18</f>
        <v>81772.371474518179</v>
      </c>
      <c r="DG23" s="718" t="s">
        <v>169</v>
      </c>
      <c r="DH23" s="709">
        <v>267383</v>
      </c>
      <c r="DI23" s="709">
        <v>130814</v>
      </c>
      <c r="DJ23" s="710">
        <v>0.49</v>
      </c>
      <c r="DK23" s="711">
        <v>34.880000000000003</v>
      </c>
      <c r="DL23" s="719">
        <v>12730</v>
      </c>
      <c r="DM23" s="162">
        <f t="shared" ref="DM23:DM28" si="79">DH23/$BR$29</f>
        <v>0.84940118809364973</v>
      </c>
      <c r="DN23" s="162">
        <f t="shared" ref="DN23:DO28" si="80">(DH23-DH16-DH9)/DH23</f>
        <v>5.5530830307087588E-2</v>
      </c>
      <c r="DO23" s="162">
        <f t="shared" si="80"/>
        <v>-3.0287278120078892E-2</v>
      </c>
      <c r="DQ23" s="76">
        <f t="shared" ref="DQ23:DQ28" si="81">DL23*(DH23-DH16-DH9)/1000000</f>
        <v>189.01504</v>
      </c>
      <c r="DR23" s="162">
        <f t="shared" si="7"/>
        <v>4.4497911810421918E-2</v>
      </c>
      <c r="DT23" s="50" t="s">
        <v>215</v>
      </c>
      <c r="DU23" s="50" t="s">
        <v>158</v>
      </c>
      <c r="DV23" s="189">
        <f>DR11</f>
        <v>4.5074916698132824E-5</v>
      </c>
      <c r="DW23" s="76">
        <f t="shared" si="25"/>
        <v>6.0312083156366617E-2</v>
      </c>
      <c r="DX23" s="50">
        <v>25</v>
      </c>
      <c r="DY23" s="50">
        <f t="shared" si="66"/>
        <v>0.25</v>
      </c>
      <c r="DZ23" s="50">
        <v>0.75</v>
      </c>
      <c r="EA23" s="50">
        <f t="shared" si="67"/>
        <v>0.1875</v>
      </c>
      <c r="EB23" s="50">
        <v>44.3</v>
      </c>
      <c r="EC23" s="50">
        <f t="shared" si="68"/>
        <v>8.3062499999999986</v>
      </c>
      <c r="ED23" s="50">
        <v>72.512080209241503</v>
      </c>
      <c r="EE23" s="50">
        <f>15.8206501432308/1000</f>
        <v>1.5820650143230801E-2</v>
      </c>
      <c r="EF23" s="50">
        <f>0.84755262174617/1000</f>
        <v>8.4755262174616996E-4</v>
      </c>
      <c r="EG23" s="76">
        <f t="shared" si="26"/>
        <v>0.50096724071757015</v>
      </c>
      <c r="EH23" s="76">
        <f t="shared" si="40"/>
        <v>36.326176741114843</v>
      </c>
      <c r="EI23" s="76">
        <f t="shared" si="27"/>
        <v>7.9256274486123653E-3</v>
      </c>
      <c r="EJ23" s="76">
        <f t="shared" si="27"/>
        <v>4.2459609827912124E-4</v>
      </c>
      <c r="EK23" s="738">
        <f t="shared" si="28"/>
        <v>36.660612275719956</v>
      </c>
      <c r="EL23" s="50">
        <v>2.34</v>
      </c>
      <c r="EM23" s="50">
        <f t="shared" si="29"/>
        <v>35282.568646474472</v>
      </c>
      <c r="EN23" s="475">
        <f t="shared" si="69"/>
        <v>35.282568646474473</v>
      </c>
      <c r="EO23" s="50">
        <v>801.2</v>
      </c>
      <c r="EP23" s="475">
        <f t="shared" si="30"/>
        <v>48.322041024880939</v>
      </c>
      <c r="ER23" s="739" t="s">
        <v>480</v>
      </c>
      <c r="ES23" s="76">
        <f>ES15+ES17+ES18</f>
        <v>87845.748509041441</v>
      </c>
      <c r="ET23" s="76">
        <f>ET15+ET17+ET18</f>
        <v>86652.174162256197</v>
      </c>
      <c r="EU23" s="76">
        <f>EU15+EU17+EU18</f>
        <v>79514.17269239109</v>
      </c>
      <c r="EW23" s="739" t="s">
        <v>480</v>
      </c>
      <c r="EX23" s="76">
        <f>EX15+EX17+EX18</f>
        <v>85449.530979702788</v>
      </c>
      <c r="EY23" s="76">
        <f>EY15+EY17+EY18</f>
        <v>84288.514426787791</v>
      </c>
      <c r="EZ23" s="76">
        <f>EZ15+EZ17+EZ18</f>
        <v>77345.220208404236</v>
      </c>
      <c r="FB23" s="739" t="s">
        <v>480</v>
      </c>
      <c r="FC23" s="76">
        <f>FC15+FC17+FC18</f>
        <v>79117.936877329455</v>
      </c>
      <c r="FD23" s="76">
        <f>FD15+FD17+FD18</f>
        <v>78042.94871421266</v>
      </c>
      <c r="FE23" s="76">
        <f>FE15+FE17+FE18</f>
        <v>71614.135034459585</v>
      </c>
      <c r="FG23" s="739" t="s">
        <v>480</v>
      </c>
      <c r="FH23" s="76">
        <f t="shared" si="48"/>
        <v>73800.752040014617</v>
      </c>
      <c r="FI23" s="76">
        <f t="shared" si="49"/>
        <v>72798.009324476661</v>
      </c>
      <c r="FJ23" s="76">
        <f t="shared" si="50"/>
        <v>66801.249259479824</v>
      </c>
    </row>
    <row r="24" spans="1:166" ht="16.5" customHeight="1" thickBot="1" x14ac:dyDescent="0.8">
      <c r="A24" s="883">
        <v>2006</v>
      </c>
      <c r="B24" s="584" t="s">
        <v>191</v>
      </c>
      <c r="C24" s="389">
        <v>37989</v>
      </c>
      <c r="D24" s="390">
        <v>38437</v>
      </c>
      <c r="E24" s="391">
        <v>34682</v>
      </c>
      <c r="F24" s="392">
        <v>111108</v>
      </c>
      <c r="G24" s="438">
        <v>111108</v>
      </c>
      <c r="H24" s="899" t="s">
        <v>221</v>
      </c>
      <c r="I24" s="415">
        <v>2.7729682934747323E-2</v>
      </c>
      <c r="J24" s="585">
        <v>7.1027113828670246E-2</v>
      </c>
      <c r="K24" s="586">
        <v>6.2644656554256883E-2</v>
      </c>
      <c r="L24" s="416">
        <v>6.2644656554256883E-2</v>
      </c>
      <c r="M24" s="587">
        <v>6.2644656554256883E-2</v>
      </c>
      <c r="O24" s="248">
        <v>2018</v>
      </c>
      <c r="P24" s="202">
        <f>M192</f>
        <v>2.8042488962377606E-2</v>
      </c>
      <c r="Q24" s="124">
        <f t="shared" si="75"/>
        <v>5.563949578120206</v>
      </c>
      <c r="R24" s="740">
        <f t="shared" si="70"/>
        <v>1320.0470374090189</v>
      </c>
      <c r="S24" s="121">
        <f t="shared" si="71"/>
        <v>34.774684863251288</v>
      </c>
      <c r="T24" s="121">
        <f t="shared" si="72"/>
        <v>1792.5095290335714</v>
      </c>
      <c r="U24" s="740">
        <f t="shared" si="73"/>
        <v>1165.1311938718216</v>
      </c>
      <c r="V24" s="129">
        <f>V25/(1+P25)</f>
        <v>1285645.8832744563</v>
      </c>
      <c r="W24" s="50">
        <f t="shared" si="57"/>
        <v>6.3896600398740464</v>
      </c>
      <c r="X24" s="475">
        <f t="shared" si="74"/>
        <v>1338.0409232983668</v>
      </c>
      <c r="AA24" s="720" t="s">
        <v>468</v>
      </c>
      <c r="AB24" s="714">
        <v>6597</v>
      </c>
      <c r="AC24" s="714">
        <v>1949</v>
      </c>
      <c r="AD24" s="713">
        <v>0.3</v>
      </c>
      <c r="AE24" s="712">
        <v>33.68</v>
      </c>
      <c r="AF24" s="721">
        <v>12293</v>
      </c>
      <c r="AH24" s="162">
        <f t="shared" si="76"/>
        <v>2.4468223207165775E-2</v>
      </c>
      <c r="AI24" s="162">
        <f t="shared" si="76"/>
        <v>7.2288262893385009E-3</v>
      </c>
      <c r="AK24" s="76">
        <f t="shared" si="51"/>
        <v>81.096920999999995</v>
      </c>
      <c r="AL24" s="162">
        <f t="shared" si="4"/>
        <v>1.9460266621831587E-2</v>
      </c>
      <c r="AO24" s="50" t="s">
        <v>25</v>
      </c>
      <c r="AP24" s="255">
        <f>AL18</f>
        <v>1.7159932342180346E-2</v>
      </c>
      <c r="AQ24" s="76">
        <f t="shared" si="8"/>
        <v>20.845626530227229</v>
      </c>
      <c r="AR24" s="50">
        <v>21.22</v>
      </c>
      <c r="AS24" s="50">
        <f t="shared" si="58"/>
        <v>0.2122</v>
      </c>
      <c r="AT24" s="50">
        <v>0.86499999999999999</v>
      </c>
      <c r="AU24" s="50">
        <f t="shared" si="59"/>
        <v>0.18355299999999999</v>
      </c>
      <c r="AV24" s="50">
        <v>43</v>
      </c>
      <c r="AW24" s="50">
        <f t="shared" si="60"/>
        <v>7.892779</v>
      </c>
      <c r="AX24" s="50">
        <v>73.367479939063315</v>
      </c>
      <c r="AY24" s="50">
        <f>2.07749454663654/1000</f>
        <v>2.0774945466365403E-3</v>
      </c>
      <c r="AZ24" s="50">
        <f>2.35970659533889/1000</f>
        <v>2.3597065953388898E-3</v>
      </c>
      <c r="BA24" s="76">
        <f t="shared" si="12"/>
        <v>164.52992331962034</v>
      </c>
      <c r="BB24" s="76">
        <f t="shared" si="13"/>
        <v>12071.145848527871</v>
      </c>
      <c r="BC24" s="76">
        <f t="shared" si="14"/>
        <v>0.34181001845503939</v>
      </c>
      <c r="BD24" s="76">
        <f t="shared" si="15"/>
        <v>0.3882423451879099</v>
      </c>
      <c r="BE24" s="738">
        <f t="shared" si="31"/>
        <v>12183.600750519408</v>
      </c>
      <c r="BF24" s="50">
        <v>2.72</v>
      </c>
      <c r="BG24" s="50">
        <f t="shared" si="16"/>
        <v>12031762.103222674</v>
      </c>
      <c r="BH24" s="738">
        <f t="shared" si="61"/>
        <v>12031.762103222674</v>
      </c>
      <c r="BI24" s="50">
        <v>801.2</v>
      </c>
      <c r="BJ24" s="738">
        <f t="shared" si="18"/>
        <v>16701.515976018058</v>
      </c>
      <c r="BM24" s="738">
        <f>SUM(BM21:BM23)</f>
        <v>314219.62422918761</v>
      </c>
      <c r="BN24" s="738">
        <f>SUM(BN21:BN23)</f>
        <v>311994.43983959634</v>
      </c>
      <c r="BO24" s="738">
        <f>SUM(BO21:BO23)</f>
        <v>282883.58655835706</v>
      </c>
      <c r="BQ24" s="175" t="s">
        <v>190</v>
      </c>
      <c r="BR24" s="198">
        <v>1386</v>
      </c>
      <c r="BS24" s="176">
        <v>759</v>
      </c>
      <c r="BT24" s="177">
        <v>0.55000000000000004</v>
      </c>
      <c r="BU24" s="176">
        <v>70.17</v>
      </c>
      <c r="BV24" s="178">
        <v>25613</v>
      </c>
      <c r="BW24" s="162">
        <f t="shared" si="77"/>
        <v>4.4029352901934623E-3</v>
      </c>
      <c r="BX24" s="162">
        <f>(BR24-BR17-BR10)/BR24</f>
        <v>-8.658008658008658E-3</v>
      </c>
      <c r="BY24" s="162">
        <f t="shared" ref="BX24:BY28" si="82">(BS24-BS17-BS10)/BS24</f>
        <v>0</v>
      </c>
      <c r="CA24" s="76">
        <f t="shared" si="78"/>
        <v>-0.30735600000000002</v>
      </c>
      <c r="CB24" s="162">
        <f t="shared" si="6"/>
        <v>-7.2357735037402525E-5</v>
      </c>
      <c r="CE24" s="50" t="s">
        <v>25</v>
      </c>
      <c r="CF24" s="189">
        <f>CB18</f>
        <v>1.9369703963901069E-2</v>
      </c>
      <c r="CG24" s="76">
        <f t="shared" si="19"/>
        <v>26.20480665886971</v>
      </c>
      <c r="CH24" s="50">
        <v>21.22</v>
      </c>
      <c r="CI24" s="50">
        <f t="shared" si="62"/>
        <v>0.2122</v>
      </c>
      <c r="CJ24" s="50">
        <v>0.86499999999999999</v>
      </c>
      <c r="CK24" s="50">
        <f t="shared" si="63"/>
        <v>0.18355299999999999</v>
      </c>
      <c r="CL24" s="50">
        <v>43</v>
      </c>
      <c r="CM24" s="50">
        <f t="shared" si="64"/>
        <v>7.892779</v>
      </c>
      <c r="CN24" s="50">
        <v>73.367479939063315</v>
      </c>
      <c r="CO24" s="50">
        <f>2.07749454663654/1000</f>
        <v>2.0774945466365403E-3</v>
      </c>
      <c r="CP24" s="50">
        <f>2.35970659533889/1000</f>
        <v>2.3597065953388898E-3</v>
      </c>
      <c r="CQ24" s="76">
        <f t="shared" si="20"/>
        <v>206.82874769618701</v>
      </c>
      <c r="CR24" s="76">
        <f t="shared" si="35"/>
        <v>15174.503997421589</v>
      </c>
      <c r="CS24" s="76">
        <f t="shared" si="21"/>
        <v>0.42968559542649343</v>
      </c>
      <c r="CT24" s="76">
        <f t="shared" si="21"/>
        <v>0.48805516004437571</v>
      </c>
      <c r="CU24" s="738">
        <f t="shared" si="22"/>
        <v>15315.86981150529</v>
      </c>
      <c r="CV24" s="50">
        <v>2.72</v>
      </c>
      <c r="CW24" s="50">
        <f t="shared" si="23"/>
        <v>15124995.126593057</v>
      </c>
      <c r="CX24" s="475">
        <f t="shared" si="65"/>
        <v>15124.995126593058</v>
      </c>
      <c r="CY24" s="50">
        <v>801.2</v>
      </c>
      <c r="CZ24" s="475">
        <f t="shared" si="24"/>
        <v>20995.291095086413</v>
      </c>
      <c r="DC24" s="738">
        <f>SUM(DC21:DC23)</f>
        <v>351387.74283085542</v>
      </c>
      <c r="DD24" s="738">
        <f>SUM(DD21:DD23)</f>
        <v>349950.67540065269</v>
      </c>
      <c r="DE24" s="738">
        <f>SUM(DE21:DE23)</f>
        <v>313037.37046740734</v>
      </c>
      <c r="DG24" s="720" t="s">
        <v>190</v>
      </c>
      <c r="DH24" s="714">
        <v>1448</v>
      </c>
      <c r="DI24" s="712">
        <v>775</v>
      </c>
      <c r="DJ24" s="713">
        <v>0.54</v>
      </c>
      <c r="DK24" s="712">
        <v>72.069999999999993</v>
      </c>
      <c r="DL24" s="721">
        <v>26304</v>
      </c>
      <c r="DM24" s="162">
        <f t="shared" si="79"/>
        <v>4.5998919914863878E-3</v>
      </c>
      <c r="DN24" s="162">
        <f t="shared" si="80"/>
        <v>2.7624309392265192E-3</v>
      </c>
      <c r="DO24" s="162">
        <f t="shared" si="80"/>
        <v>0</v>
      </c>
      <c r="DQ24" s="76">
        <f t="shared" si="81"/>
        <v>0.105216</v>
      </c>
      <c r="DR24" s="162">
        <f t="shared" si="7"/>
        <v>2.4769945762227983E-5</v>
      </c>
      <c r="DU24" s="50" t="s">
        <v>25</v>
      </c>
      <c r="DV24" s="189">
        <f>DR18</f>
        <v>1.8995180717202916E-2</v>
      </c>
      <c r="DW24" s="76">
        <f t="shared" si="25"/>
        <v>25.416329145065522</v>
      </c>
      <c r="DX24" s="50">
        <v>21.22</v>
      </c>
      <c r="DY24" s="50">
        <f t="shared" si="66"/>
        <v>0.2122</v>
      </c>
      <c r="DZ24" s="50">
        <v>0.86499999999999999</v>
      </c>
      <c r="EA24" s="50">
        <f t="shared" si="67"/>
        <v>0.18355299999999999</v>
      </c>
      <c r="EB24" s="50">
        <v>43</v>
      </c>
      <c r="EC24" s="50">
        <f t="shared" si="68"/>
        <v>7.892779</v>
      </c>
      <c r="ED24" s="50">
        <v>73.367479939063315</v>
      </c>
      <c r="EE24" s="50">
        <f>2.07749454663654/1000</f>
        <v>2.0774945466365403E-3</v>
      </c>
      <c r="EF24" s="50">
        <f>2.35970659533889/1000</f>
        <v>2.3597065953388898E-3</v>
      </c>
      <c r="EG24" s="76">
        <f t="shared" si="26"/>
        <v>200.60546893326111</v>
      </c>
      <c r="EH24" s="76">
        <f t="shared" si="40"/>
        <v>14717.917717627424</v>
      </c>
      <c r="EI24" s="76">
        <f t="shared" si="27"/>
        <v>0.41675676773431586</v>
      </c>
      <c r="EJ24" s="76">
        <f t="shared" si="27"/>
        <v>0.47337004810286698</v>
      </c>
      <c r="EK24" s="738">
        <f t="shared" si="28"/>
        <v>14855.029969871244</v>
      </c>
      <c r="EL24" s="50">
        <v>2.72</v>
      </c>
      <c r="EM24" s="50">
        <f t="shared" si="29"/>
        <v>14669898.521265497</v>
      </c>
      <c r="EN24" s="475">
        <f t="shared" si="69"/>
        <v>14669.898521265497</v>
      </c>
      <c r="EO24" s="50">
        <v>801.2</v>
      </c>
      <c r="EP24" s="475">
        <f t="shared" si="30"/>
        <v>20363.5629110265</v>
      </c>
      <c r="ES24" s="738">
        <f>SUM(ES21:ES23)</f>
        <v>345502.25418353896</v>
      </c>
      <c r="ET24" s="738">
        <f>SUM(ET21:ET23)</f>
        <v>342849.86239102727</v>
      </c>
      <c r="EU24" s="738">
        <f>SUM(EU21:EU23)</f>
        <v>309715.36567476875</v>
      </c>
      <c r="EX24" s="738">
        <f>SUM(EX21:EX23)</f>
        <v>336077.79629056074</v>
      </c>
      <c r="EY24" s="738">
        <f>SUM(EY21:EY23)</f>
        <v>333497.75526989356</v>
      </c>
      <c r="EZ24" s="738">
        <f>SUM(EZ21:EZ23)</f>
        <v>301267.08672067651</v>
      </c>
      <c r="FC24" s="738">
        <f>SUM(FC21:FC23)</f>
        <v>311175.28168884345</v>
      </c>
      <c r="FD24" s="738">
        <f>SUM(FD21:FD23)</f>
        <v>308786.4151816353</v>
      </c>
      <c r="FE24" s="738">
        <f>SUM(FE21:FE23)</f>
        <v>278943.95764495432</v>
      </c>
      <c r="FH24" s="738">
        <f t="shared" si="48"/>
        <v>290262.49560206168</v>
      </c>
      <c r="FI24" s="738">
        <f t="shared" si="49"/>
        <v>288034.17479753273</v>
      </c>
      <c r="FJ24" s="738">
        <f t="shared" si="50"/>
        <v>260197.30371804512</v>
      </c>
    </row>
    <row r="25" spans="1:166" ht="16.5" customHeight="1" thickBot="1" x14ac:dyDescent="0.8">
      <c r="A25" s="883"/>
      <c r="B25" s="396" t="s">
        <v>195</v>
      </c>
      <c r="C25" s="397">
        <v>40907</v>
      </c>
      <c r="D25" s="398">
        <v>40671</v>
      </c>
      <c r="E25" s="399">
        <v>37501</v>
      </c>
      <c r="F25" s="400">
        <v>119079</v>
      </c>
      <c r="G25" s="439">
        <v>230187</v>
      </c>
      <c r="H25" s="899"/>
      <c r="I25" s="417">
        <v>2.7659146862282068E-2</v>
      </c>
      <c r="J25" s="418">
        <v>6.4039269095448867E-2</v>
      </c>
      <c r="K25" s="419">
        <v>6.2061931004768756E-2</v>
      </c>
      <c r="L25" s="420">
        <v>6.2061931004768756E-2</v>
      </c>
      <c r="M25" s="588">
        <v>6.2343124549252948E-2</v>
      </c>
      <c r="O25" s="248">
        <v>2019</v>
      </c>
      <c r="P25" s="202">
        <f>M205</f>
        <v>1.1087125087072547E-2</v>
      </c>
      <c r="Q25" s="124">
        <f t="shared" si="75"/>
        <v>5.6256377830709896</v>
      </c>
      <c r="R25" s="740">
        <f>Q25*365*0.65</f>
        <v>1334.6825640335924</v>
      </c>
      <c r="S25" s="121">
        <f t="shared" si="71"/>
        <v>35.160236144193682</v>
      </c>
      <c r="T25" s="121">
        <f t="shared" si="72"/>
        <v>1812.383306401736</v>
      </c>
      <c r="U25" s="740">
        <f t="shared" si="73"/>
        <v>1178.0491491611285</v>
      </c>
      <c r="V25" s="50">
        <f>1155600+96100+48200</f>
        <v>1299900</v>
      </c>
      <c r="W25" s="50">
        <f>V25/10^6*$W$16</f>
        <v>6.4605030000000001</v>
      </c>
      <c r="X25" s="475">
        <f t="shared" si="74"/>
        <v>1352.8759503865979</v>
      </c>
      <c r="AA25" s="718" t="s">
        <v>469</v>
      </c>
      <c r="AB25" s="709">
        <v>9658</v>
      </c>
      <c r="AC25" s="709">
        <v>1395</v>
      </c>
      <c r="AD25" s="710">
        <v>0.14000000000000001</v>
      </c>
      <c r="AE25" s="711">
        <v>45.12</v>
      </c>
      <c r="AF25" s="719">
        <v>16468</v>
      </c>
      <c r="AH25" s="162">
        <f t="shared" si="76"/>
        <v>3.5821449103351076E-2</v>
      </c>
      <c r="AI25" s="162">
        <f t="shared" si="76"/>
        <v>5.1740444708195015E-3</v>
      </c>
      <c r="AK25" s="76">
        <f t="shared" si="51"/>
        <v>159.047944</v>
      </c>
      <c r="AL25" s="162">
        <f t="shared" si="4"/>
        <v>3.8165633882624714E-2</v>
      </c>
      <c r="AN25" s="50" t="str">
        <f>AA20</f>
        <v>Vörubifreiðar ≤12t</v>
      </c>
      <c r="AO25" s="50" t="s">
        <v>158</v>
      </c>
      <c r="AP25" s="255">
        <f>AL13</f>
        <v>9.1998387891580686E-4</v>
      </c>
      <c r="AQ25" s="76">
        <f t="shared" si="8"/>
        <v>1.1175825155539034</v>
      </c>
      <c r="AR25" s="50">
        <v>25</v>
      </c>
      <c r="AS25" s="50">
        <f t="shared" si="58"/>
        <v>0.25</v>
      </c>
      <c r="AT25" s="50">
        <v>0.75</v>
      </c>
      <c r="AU25" s="50">
        <f t="shared" si="59"/>
        <v>0.1875</v>
      </c>
      <c r="AV25" s="50">
        <v>44.3</v>
      </c>
      <c r="AW25" s="50">
        <f t="shared" si="60"/>
        <v>8.3062499999999986</v>
      </c>
      <c r="AX25" s="50">
        <v>72.513754762763227</v>
      </c>
      <c r="AY25" s="50">
        <f>6.43681969225972/1000</f>
        <v>6.4368196922597199E-3</v>
      </c>
      <c r="AZ25" s="50">
        <f>1.22219082236233/1000</f>
        <v>1.2221908223623299E-3</v>
      </c>
      <c r="BA25" s="76">
        <f t="shared" si="12"/>
        <v>9.2829197698196086</v>
      </c>
      <c r="BB25" s="76">
        <f t="shared" si="13"/>
        <v>673.13936767110556</v>
      </c>
      <c r="BC25" s="76">
        <f t="shared" si="14"/>
        <v>5.9752480776041922E-2</v>
      </c>
      <c r="BD25" s="76">
        <f t="shared" si="15"/>
        <v>1.1345499347399358E-2</v>
      </c>
      <c r="BE25" s="738">
        <f t="shared" si="31"/>
        <v>677.81899445989552</v>
      </c>
      <c r="BF25" s="50">
        <v>2.34</v>
      </c>
      <c r="BG25" s="50">
        <f t="shared" si="16"/>
        <v>653785.7715990335</v>
      </c>
      <c r="BH25" s="738">
        <f t="shared" si="61"/>
        <v>653.78577159903352</v>
      </c>
      <c r="BI25" s="50">
        <v>512.9</v>
      </c>
      <c r="BJ25" s="738">
        <f t="shared" si="18"/>
        <v>573.20807222759697</v>
      </c>
      <c r="BQ25" s="157" t="s">
        <v>193</v>
      </c>
      <c r="BR25" s="158">
        <v>1792</v>
      </c>
      <c r="BS25" s="160">
        <v>988</v>
      </c>
      <c r="BT25" s="159">
        <v>0.55000000000000004</v>
      </c>
      <c r="BU25" s="160">
        <v>127.43</v>
      </c>
      <c r="BV25" s="161">
        <v>46511</v>
      </c>
      <c r="BW25" s="162">
        <f t="shared" si="77"/>
        <v>5.6926840115632642E-3</v>
      </c>
      <c r="BX25" s="162">
        <f>(BR25-BR18-BR11)/BR25</f>
        <v>1.171875E-2</v>
      </c>
      <c r="BY25" s="162">
        <f t="shared" si="82"/>
        <v>1.0121457489878543E-3</v>
      </c>
      <c r="CA25" s="76">
        <f t="shared" si="78"/>
        <v>0.97673100000000002</v>
      </c>
      <c r="CB25" s="162">
        <f t="shared" si="6"/>
        <v>2.2994196599649007E-4</v>
      </c>
      <c r="CD25" s="50" t="str">
        <f>BQ20</f>
        <v>Vörubifreiðar ≤12t</v>
      </c>
      <c r="CE25" s="50" t="s">
        <v>158</v>
      </c>
      <c r="CF25" s="189">
        <f>CB13</f>
        <v>1.1990726857023404E-3</v>
      </c>
      <c r="CG25" s="76">
        <f t="shared" si="19"/>
        <v>1.6221965992521641</v>
      </c>
      <c r="CH25" s="50">
        <v>25</v>
      </c>
      <c r="CI25" s="50">
        <f t="shared" si="62"/>
        <v>0.25</v>
      </c>
      <c r="CJ25" s="50">
        <v>0.75</v>
      </c>
      <c r="CK25" s="50">
        <f t="shared" si="63"/>
        <v>0.1875</v>
      </c>
      <c r="CL25" s="50">
        <v>44.3</v>
      </c>
      <c r="CM25" s="50">
        <f t="shared" si="64"/>
        <v>8.3062499999999986</v>
      </c>
      <c r="CN25" s="50">
        <v>72.513754762763227</v>
      </c>
      <c r="CO25" s="50">
        <f>6.43681969225972/1000</f>
        <v>6.4368196922597199E-3</v>
      </c>
      <c r="CP25" s="50">
        <f>1.22219082236233/1000</f>
        <v>1.2221908223623299E-3</v>
      </c>
      <c r="CQ25" s="76">
        <f t="shared" si="20"/>
        <v>13.474370502538285</v>
      </c>
      <c r="CR25" s="76">
        <f t="shared" si="35"/>
        <v>977.07719820367197</v>
      </c>
      <c r="CS25" s="76">
        <f t="shared" si="21"/>
        <v>8.6732093391541934E-2</v>
      </c>
      <c r="CT25" s="76">
        <f t="shared" si="21"/>
        <v>1.6468251965311986E-2</v>
      </c>
      <c r="CU25" s="738">
        <f t="shared" si="22"/>
        <v>983.86978358944282</v>
      </c>
      <c r="CV25" s="50">
        <v>2.34</v>
      </c>
      <c r="CW25" s="50">
        <f t="shared" si="23"/>
        <v>948985.01056251593</v>
      </c>
      <c r="CX25" s="475">
        <f t="shared" si="65"/>
        <v>948.98501056251598</v>
      </c>
      <c r="CY25" s="50">
        <v>512.9</v>
      </c>
      <c r="CZ25" s="475">
        <f t="shared" si="24"/>
        <v>832.02463575643492</v>
      </c>
      <c r="DB25" s="76"/>
      <c r="DC25" s="76"/>
      <c r="DD25" s="76"/>
      <c r="DE25" s="76"/>
      <c r="DG25" s="718" t="s">
        <v>193</v>
      </c>
      <c r="DH25" s="709">
        <v>1750</v>
      </c>
      <c r="DI25" s="711">
        <v>951</v>
      </c>
      <c r="DJ25" s="710">
        <v>0.54</v>
      </c>
      <c r="DK25" s="711">
        <v>128.04</v>
      </c>
      <c r="DL25" s="719">
        <v>46734</v>
      </c>
      <c r="DM25" s="162">
        <f t="shared" si="79"/>
        <v>5.55926173004225E-3</v>
      </c>
      <c r="DN25" s="162">
        <f t="shared" si="80"/>
        <v>1.2E-2</v>
      </c>
      <c r="DO25" s="162">
        <f t="shared" si="80"/>
        <v>1.0515247108307045E-3</v>
      </c>
      <c r="DQ25" s="76">
        <f t="shared" si="81"/>
        <v>0.98141400000000001</v>
      </c>
      <c r="DR25" s="162">
        <f t="shared" si="7"/>
        <v>2.3104443763582739E-4</v>
      </c>
      <c r="DT25" s="50" t="str">
        <f>DG20</f>
        <v>Vörubifreiðar ≤12t</v>
      </c>
      <c r="DU25" s="50" t="s">
        <v>158</v>
      </c>
      <c r="DV25" s="189">
        <f>DR13</f>
        <v>9.2119592142013082E-4</v>
      </c>
      <c r="DW25" s="76">
        <f t="shared" si="25"/>
        <v>1.2325978412356815</v>
      </c>
      <c r="DX25" s="50">
        <v>25</v>
      </c>
      <c r="DY25" s="50">
        <f t="shared" si="66"/>
        <v>0.25</v>
      </c>
      <c r="DZ25" s="50">
        <v>0.75</v>
      </c>
      <c r="EA25" s="50">
        <f t="shared" si="67"/>
        <v>0.1875</v>
      </c>
      <c r="EB25" s="50">
        <v>44.3</v>
      </c>
      <c r="EC25" s="50">
        <f t="shared" si="68"/>
        <v>8.3062499999999986</v>
      </c>
      <c r="ED25" s="50">
        <v>72.513754762763227</v>
      </c>
      <c r="EE25" s="50">
        <f>6.43681969225972/1000</f>
        <v>6.4368196922597199E-3</v>
      </c>
      <c r="EF25" s="50">
        <f>1.22219082236233/1000</f>
        <v>1.2221908223623299E-3</v>
      </c>
      <c r="EG25" s="76">
        <f t="shared" si="26"/>
        <v>10.238265818763878</v>
      </c>
      <c r="EH25" s="76">
        <f t="shared" si="40"/>
        <v>742.41509677782517</v>
      </c>
      <c r="EI25" s="76">
        <f t="shared" si="27"/>
        <v>6.5901871036808918E-2</v>
      </c>
      <c r="EJ25" s="76">
        <f t="shared" si="27"/>
        <v>1.2513114520599156E-2</v>
      </c>
      <c r="EK25" s="738">
        <f t="shared" si="28"/>
        <v>747.57632451481459</v>
      </c>
      <c r="EL25" s="50">
        <v>2.34</v>
      </c>
      <c r="EM25" s="50">
        <f t="shared" si="29"/>
        <v>721069.73712287354</v>
      </c>
      <c r="EN25" s="475">
        <f t="shared" si="69"/>
        <v>721.06973712287356</v>
      </c>
      <c r="EO25" s="50">
        <v>512.9</v>
      </c>
      <c r="EP25" s="475">
        <f t="shared" si="30"/>
        <v>632.19943276978097</v>
      </c>
    </row>
    <row r="26" spans="1:166" ht="16.5" customHeight="1" thickBot="1" x14ac:dyDescent="0.8">
      <c r="A26" s="883"/>
      <c r="B26" s="396" t="s">
        <v>15</v>
      </c>
      <c r="C26" s="397">
        <v>42550</v>
      </c>
      <c r="D26" s="398">
        <v>41844</v>
      </c>
      <c r="E26" s="399">
        <v>39087</v>
      </c>
      <c r="F26" s="400">
        <v>123481</v>
      </c>
      <c r="G26" s="439">
        <v>353668</v>
      </c>
      <c r="H26" s="899"/>
      <c r="I26" s="417">
        <v>8.2311644706720255E-2</v>
      </c>
      <c r="J26" s="418">
        <v>8.1184996680681562E-2</v>
      </c>
      <c r="K26" s="419">
        <v>8.8449213399812709E-2</v>
      </c>
      <c r="L26" s="420">
        <v>8.8449213399812709E-2</v>
      </c>
      <c r="M26" s="588">
        <v>7.1314415927035579E-2</v>
      </c>
      <c r="O26" s="248">
        <v>2020</v>
      </c>
      <c r="P26" s="202">
        <f>M218</f>
        <v>-0.10207222614065981</v>
      </c>
      <c r="Q26" s="124">
        <f>Q25*(1+P26)</f>
        <v>5.0514164110919273</v>
      </c>
      <c r="R26" s="740">
        <f>Q26*365*0.65</f>
        <v>1198.4485435315598</v>
      </c>
      <c r="S26" s="121">
        <f>Q26/0.16</f>
        <v>31.571352569324546</v>
      </c>
      <c r="T26" s="121">
        <f>S26/0.0194</f>
        <v>1627.3893076971415</v>
      </c>
      <c r="U26" s="740">
        <f t="shared" si="73"/>
        <v>1057.8030500031421</v>
      </c>
      <c r="V26" s="50">
        <f>V25*(1+P26)</f>
        <v>1167216.3132397563</v>
      </c>
      <c r="W26" s="50">
        <f>V26/10^6*$W$16</f>
        <v>5.8010650768015877</v>
      </c>
      <c r="X26" s="475">
        <f>W26/$S$16/$T$16*$U$16</f>
        <v>1214.7848904384769</v>
      </c>
      <c r="AA26" s="720" t="s">
        <v>470</v>
      </c>
      <c r="AB26" s="712">
        <v>198</v>
      </c>
      <c r="AC26" s="712">
        <v>9</v>
      </c>
      <c r="AD26" s="713">
        <v>0.05</v>
      </c>
      <c r="AE26" s="712" t="s">
        <v>1</v>
      </c>
      <c r="AF26" s="722" t="s">
        <v>1</v>
      </c>
      <c r="AH26" s="162">
        <f t="shared" si="76"/>
        <v>7.3438050553567124E-4</v>
      </c>
      <c r="AI26" s="162">
        <f t="shared" si="76"/>
        <v>3.3380932069803238E-5</v>
      </c>
      <c r="AK26" s="76">
        <v>0</v>
      </c>
      <c r="AL26" s="162">
        <f t="shared" si="4"/>
        <v>0</v>
      </c>
      <c r="AO26" s="50" t="s">
        <v>25</v>
      </c>
      <c r="AP26" s="255">
        <f>AL20</f>
        <v>1.8683875927738472E-2</v>
      </c>
      <c r="AQ26" s="76">
        <f t="shared" si="8"/>
        <v>22.696890171843876</v>
      </c>
      <c r="AR26" s="50">
        <v>21.22</v>
      </c>
      <c r="AS26" s="50">
        <f t="shared" si="58"/>
        <v>0.2122</v>
      </c>
      <c r="AT26" s="50">
        <v>0.86499999999999999</v>
      </c>
      <c r="AU26" s="50">
        <f t="shared" si="59"/>
        <v>0.18355299999999999</v>
      </c>
      <c r="AV26" s="50">
        <v>43</v>
      </c>
      <c r="AW26" s="50">
        <f t="shared" si="60"/>
        <v>7.892779</v>
      </c>
      <c r="AX26" s="50">
        <v>73.367561400348293</v>
      </c>
      <c r="AY26" s="50">
        <f>0.36897495946676/1000</f>
        <v>3.6897495946676E-4</v>
      </c>
      <c r="AZ26" s="50">
        <f>2.09444904821954/1000</f>
        <v>2.0944490482195399E-3</v>
      </c>
      <c r="BA26" s="76">
        <f t="shared" si="12"/>
        <v>179.14153811363573</v>
      </c>
      <c r="BB26" s="76">
        <f t="shared" si="13"/>
        <v>13143.177796905004</v>
      </c>
      <c r="BC26" s="76">
        <f t="shared" si="14"/>
        <v>6.6098741764291785E-2</v>
      </c>
      <c r="BD26" s="76">
        <f t="shared" si="15"/>
        <v>0.37520282399868876</v>
      </c>
      <c r="BE26" s="738">
        <f t="shared" si="31"/>
        <v>13244.457310034057</v>
      </c>
      <c r="BF26" s="50">
        <v>2.72</v>
      </c>
      <c r="BG26" s="50">
        <f t="shared" si="16"/>
        <v>13100281.856945535</v>
      </c>
      <c r="BH26" s="738">
        <f t="shared" si="61"/>
        <v>13100.281856945536</v>
      </c>
      <c r="BI26" s="50">
        <v>630.9</v>
      </c>
      <c r="BJ26" s="738">
        <f t="shared" si="18"/>
        <v>14319.468009416301</v>
      </c>
      <c r="BM26" s="164">
        <f>(BM24-DC24)/DC24</f>
        <v>-0.1057752279639393</v>
      </c>
      <c r="BN26" s="164">
        <f>(BN24-DD24)/DD24</f>
        <v>-0.10846167254171146</v>
      </c>
      <c r="BO26" s="164">
        <f>(BO24-DE24)/DE24</f>
        <v>-9.6326466913603914E-2</v>
      </c>
      <c r="BQ26" s="175" t="s">
        <v>197</v>
      </c>
      <c r="BR26" s="198">
        <v>28939</v>
      </c>
      <c r="BS26" s="198">
        <v>14744</v>
      </c>
      <c r="BT26" s="177">
        <v>0.51</v>
      </c>
      <c r="BU26" s="176">
        <v>36.94</v>
      </c>
      <c r="BV26" s="178">
        <v>13482</v>
      </c>
      <c r="BW26" s="162">
        <f t="shared" si="77"/>
        <v>9.1931128688967245E-2</v>
      </c>
      <c r="BX26" s="162">
        <f>(BR26-BR19-BR12)/BR26</f>
        <v>1.5480839006185425E-2</v>
      </c>
      <c r="BY26" s="162">
        <f t="shared" si="82"/>
        <v>9.4275637547476948E-3</v>
      </c>
      <c r="CA26" s="76">
        <f t="shared" si="78"/>
        <v>6.039936</v>
      </c>
      <c r="CB26" s="162">
        <f t="shared" si="6"/>
        <v>1.4219214485185546E-3</v>
      </c>
      <c r="CE26" s="50" t="s">
        <v>25</v>
      </c>
      <c r="CF26" s="189">
        <f>CB20</f>
        <v>1.8372467397700678E-2</v>
      </c>
      <c r="CG26" s="76">
        <f t="shared" si="19"/>
        <v>24.85566929161109</v>
      </c>
      <c r="CH26" s="50">
        <v>21.22</v>
      </c>
      <c r="CI26" s="50">
        <f t="shared" si="62"/>
        <v>0.2122</v>
      </c>
      <c r="CJ26" s="50">
        <v>0.86499999999999999</v>
      </c>
      <c r="CK26" s="50">
        <f t="shared" si="63"/>
        <v>0.18355299999999999</v>
      </c>
      <c r="CL26" s="50">
        <v>43</v>
      </c>
      <c r="CM26" s="50">
        <f t="shared" si="64"/>
        <v>7.892779</v>
      </c>
      <c r="CN26" s="50">
        <v>73.367561400348293</v>
      </c>
      <c r="CO26" s="50">
        <f>0.36897495946676/1000</f>
        <v>3.6897495946676E-4</v>
      </c>
      <c r="CP26" s="50">
        <f>2.09444904821954/1000</f>
        <v>2.0944490482195399E-3</v>
      </c>
      <c r="CQ26" s="76">
        <f t="shared" si="20"/>
        <v>196.18030461577288</v>
      </c>
      <c r="CR26" s="76">
        <f t="shared" si="35"/>
        <v>14393.270544436749</v>
      </c>
      <c r="CS26" s="76">
        <f t="shared" si="21"/>
        <v>7.2385619943781426E-2</v>
      </c>
      <c r="CT26" s="76">
        <f t="shared" si="21"/>
        <v>0.41088965228192492</v>
      </c>
      <c r="CU26" s="738">
        <f t="shared" si="22"/>
        <v>14504.183099649885</v>
      </c>
      <c r="CV26" s="50">
        <v>2.72</v>
      </c>
      <c r="CW26" s="50">
        <f t="shared" si="23"/>
        <v>14346294.624409255</v>
      </c>
      <c r="CX26" s="475">
        <f t="shared" si="65"/>
        <v>14346.294624409255</v>
      </c>
      <c r="CY26" s="50">
        <v>630.9</v>
      </c>
      <c r="CZ26" s="475">
        <f t="shared" si="24"/>
        <v>15681.441756077438</v>
      </c>
      <c r="DB26" s="76"/>
      <c r="DC26" s="164">
        <f>(DC24-ES24)/ES24</f>
        <v>1.7034588272729346E-2</v>
      </c>
      <c r="DD26" s="164">
        <f>(DD24-ET24)/ET24</f>
        <v>2.0711144406197236E-2</v>
      </c>
      <c r="DE26" s="164">
        <f>(DE24-EU24)/EU24</f>
        <v>1.0725992833455402E-2</v>
      </c>
      <c r="DG26" s="720" t="s">
        <v>197</v>
      </c>
      <c r="DH26" s="714">
        <v>28059</v>
      </c>
      <c r="DI26" s="714">
        <v>14602</v>
      </c>
      <c r="DJ26" s="713">
        <v>0.52</v>
      </c>
      <c r="DK26" s="712">
        <v>36.840000000000003</v>
      </c>
      <c r="DL26" s="721">
        <v>13447</v>
      </c>
      <c r="DM26" s="162">
        <f t="shared" si="79"/>
        <v>8.9135614219003151E-2</v>
      </c>
      <c r="DN26" s="162">
        <f t="shared" si="80"/>
        <v>1.340033500837521E-2</v>
      </c>
      <c r="DO26" s="162">
        <f t="shared" si="80"/>
        <v>9.1083413231064243E-3</v>
      </c>
      <c r="DQ26" s="76">
        <f t="shared" si="81"/>
        <v>5.0560720000000003</v>
      </c>
      <c r="DR26" s="162">
        <f t="shared" si="7"/>
        <v>1.1903002319981711E-3</v>
      </c>
      <c r="DU26" s="50" t="s">
        <v>25</v>
      </c>
      <c r="DV26" s="189">
        <f>DR20</f>
        <v>1.8574041730215027E-2</v>
      </c>
      <c r="DW26" s="76">
        <f t="shared" si="25"/>
        <v>24.852827946079309</v>
      </c>
      <c r="DX26" s="50">
        <v>21.22</v>
      </c>
      <c r="DY26" s="50">
        <f t="shared" si="66"/>
        <v>0.2122</v>
      </c>
      <c r="DZ26" s="50">
        <v>0.86499999999999999</v>
      </c>
      <c r="EA26" s="50">
        <f t="shared" si="67"/>
        <v>0.18355299999999999</v>
      </c>
      <c r="EB26" s="50">
        <v>43</v>
      </c>
      <c r="EC26" s="50">
        <f t="shared" si="68"/>
        <v>7.892779</v>
      </c>
      <c r="ED26" s="50">
        <v>73.367561400348293</v>
      </c>
      <c r="EE26" s="50">
        <f>0.36897495946676/1000</f>
        <v>3.6897495946676E-4</v>
      </c>
      <c r="EF26" s="50">
        <f>2.09444904821954/1000</f>
        <v>2.0944490482195399E-3</v>
      </c>
      <c r="EG26" s="76">
        <f t="shared" si="26"/>
        <v>196.1578785034279</v>
      </c>
      <c r="EH26" s="76">
        <f t="shared" si="40"/>
        <v>14391.625195262306</v>
      </c>
      <c r="EI26" s="76">
        <f t="shared" si="27"/>
        <v>7.2377345269887941E-2</v>
      </c>
      <c r="EJ26" s="76">
        <f t="shared" si="27"/>
        <v>0.41084268193226869</v>
      </c>
      <c r="EK26" s="738">
        <f t="shared" si="28"/>
        <v>14502.525071641914</v>
      </c>
      <c r="EL26" s="50">
        <v>2.72</v>
      </c>
      <c r="EM26" s="50">
        <f t="shared" si="29"/>
        <v>14344654.645229839</v>
      </c>
      <c r="EN26" s="475">
        <f t="shared" si="69"/>
        <v>14344.654645229839</v>
      </c>
      <c r="EO26" s="50">
        <v>630.9</v>
      </c>
      <c r="EP26" s="475">
        <f t="shared" si="30"/>
        <v>15679.649151181437</v>
      </c>
      <c r="ES26" s="164">
        <f>(ES24-EX24)/EX24</f>
        <v>2.8042488962377533E-2</v>
      </c>
      <c r="ET26" s="164">
        <f>(ET24-EY24)/EY24</f>
        <v>2.8042488962377644E-2</v>
      </c>
      <c r="EU26" s="164">
        <f>(EU24-EZ24)/EZ24</f>
        <v>2.804248896237764E-2</v>
      </c>
      <c r="EX26" s="164">
        <f>(EX24-FC24)/FC24</f>
        <v>8.0027290299421378E-2</v>
      </c>
      <c r="EY26" s="164">
        <f>(EY24-FD24)/FD24</f>
        <v>8.0027290299420989E-2</v>
      </c>
      <c r="EZ26" s="164">
        <f>(EZ24-FE24)/FE24</f>
        <v>8.0027290299421114E-2</v>
      </c>
      <c r="FC26" s="164">
        <f>(FC24-FH24)/FH24</f>
        <v>7.2047840846281297E-2</v>
      </c>
      <c r="FD26" s="164">
        <f>(FD24-FI24)/FI24</f>
        <v>7.2047840846281158E-2</v>
      </c>
      <c r="FE26" s="164">
        <f>(FE24-FJ24)/FJ24</f>
        <v>7.2047840846281186E-2</v>
      </c>
    </row>
    <row r="27" spans="1:166" ht="16.5" customHeight="1" thickBot="1" x14ac:dyDescent="0.8">
      <c r="A27" s="883"/>
      <c r="B27" s="396" t="s">
        <v>16</v>
      </c>
      <c r="C27" s="397">
        <v>38387</v>
      </c>
      <c r="D27" s="398">
        <v>39569</v>
      </c>
      <c r="E27" s="399">
        <v>37569</v>
      </c>
      <c r="F27" s="400">
        <v>115525</v>
      </c>
      <c r="G27" s="439">
        <v>469193</v>
      </c>
      <c r="H27" s="899"/>
      <c r="I27" s="417">
        <v>-5.8474685793451248E-2</v>
      </c>
      <c r="J27" s="418">
        <v>-1.2760188212776139E-3</v>
      </c>
      <c r="K27" s="419">
        <v>-2.8704408751996091E-2</v>
      </c>
      <c r="L27" s="420">
        <v>-2.8704408751996091E-2</v>
      </c>
      <c r="M27" s="588">
        <v>4.4823455965850467E-2</v>
      </c>
      <c r="AA27" s="718" t="s">
        <v>471</v>
      </c>
      <c r="AB27" s="711">
        <v>689</v>
      </c>
      <c r="AC27" s="711">
        <v>204</v>
      </c>
      <c r="AD27" s="710">
        <v>0.3</v>
      </c>
      <c r="AE27" s="711">
        <v>47.04</v>
      </c>
      <c r="AF27" s="719">
        <v>17171</v>
      </c>
      <c r="AH27" s="162">
        <f t="shared" si="76"/>
        <v>2.555495799566048E-3</v>
      </c>
      <c r="AI27" s="162">
        <f t="shared" si="76"/>
        <v>7.5663446024887336E-4</v>
      </c>
      <c r="AK27" s="76">
        <f>AF27*AB27/1000000</f>
        <v>11.830819</v>
      </c>
      <c r="AL27" s="162">
        <f t="shared" si="4"/>
        <v>2.8389597195019396E-3</v>
      </c>
      <c r="AN27" s="50" t="str">
        <f>AA21</f>
        <v>Vörubifreiðar &gt;12t</v>
      </c>
      <c r="AO27" s="50" t="s">
        <v>158</v>
      </c>
      <c r="AP27" s="255">
        <f>AL13</f>
        <v>9.1998387891580686E-4</v>
      </c>
      <c r="AQ27" s="76">
        <f t="shared" si="8"/>
        <v>1.1175825155539034</v>
      </c>
      <c r="AR27" s="50">
        <v>25</v>
      </c>
      <c r="AS27" s="50">
        <f t="shared" si="58"/>
        <v>0.25</v>
      </c>
      <c r="AT27" s="50">
        <v>0.75</v>
      </c>
      <c r="AU27" s="50">
        <f t="shared" si="59"/>
        <v>0.1875</v>
      </c>
      <c r="AV27" s="50">
        <v>44.3</v>
      </c>
      <c r="AW27" s="50">
        <f t="shared" si="60"/>
        <v>8.3062499999999986</v>
      </c>
      <c r="AX27" s="50">
        <v>72.512080209241503</v>
      </c>
      <c r="AY27" s="50">
        <f>15.8206501432308/1000</f>
        <v>1.5820650143230801E-2</v>
      </c>
      <c r="AZ27" s="50">
        <f>0.84755262174617/1000</f>
        <v>8.4755262174616996E-4</v>
      </c>
      <c r="BA27" s="76">
        <f t="shared" si="12"/>
        <v>9.2829197698196086</v>
      </c>
      <c r="BB27" s="76">
        <f t="shared" si="13"/>
        <v>673.12382292511313</v>
      </c>
      <c r="BC27" s="76">
        <f t="shared" si="14"/>
        <v>0.14686182598599662</v>
      </c>
      <c r="BD27" s="76">
        <f t="shared" si="15"/>
        <v>7.8677629883699626E-3</v>
      </c>
      <c r="BE27" s="738">
        <f t="shared" si="31"/>
        <v>679.32091124463909</v>
      </c>
      <c r="BF27" s="50">
        <v>2.34</v>
      </c>
      <c r="BG27" s="50">
        <f t="shared" si="16"/>
        <v>653785.7715990335</v>
      </c>
      <c r="BH27" s="738">
        <f t="shared" si="61"/>
        <v>653.78577159903352</v>
      </c>
      <c r="BI27" s="50">
        <v>512.9</v>
      </c>
      <c r="BJ27" s="738">
        <f t="shared" si="18"/>
        <v>573.20807222759697</v>
      </c>
      <c r="BQ27" s="157" t="s">
        <v>199</v>
      </c>
      <c r="BR27" s="158">
        <v>5887</v>
      </c>
      <c r="BS27" s="158">
        <v>2927</v>
      </c>
      <c r="BT27" s="159">
        <v>0.5</v>
      </c>
      <c r="BU27" s="160">
        <v>39.71</v>
      </c>
      <c r="BV27" s="161">
        <v>14496</v>
      </c>
      <c r="BW27" s="162">
        <f t="shared" si="77"/>
        <v>1.870135645986213E-2</v>
      </c>
      <c r="BX27" s="162">
        <f t="shared" si="82"/>
        <v>3.3973161202649905E-4</v>
      </c>
      <c r="BY27" s="162">
        <f t="shared" si="82"/>
        <v>0</v>
      </c>
      <c r="CA27" s="76">
        <f t="shared" si="78"/>
        <v>2.8992E-2</v>
      </c>
      <c r="CB27" s="162">
        <f t="shared" si="6"/>
        <v>6.8252952738985866E-6</v>
      </c>
      <c r="CD27" s="50" t="str">
        <f>BQ21</f>
        <v>Vörubifreiðar &gt;12t</v>
      </c>
      <c r="CE27" s="50" t="s">
        <v>158</v>
      </c>
      <c r="CF27" s="189">
        <f>CB13</f>
        <v>1.1990726857023404E-3</v>
      </c>
      <c r="CG27" s="76">
        <f t="shared" si="19"/>
        <v>1.6221965992521641</v>
      </c>
      <c r="CH27" s="50">
        <v>25</v>
      </c>
      <c r="CI27" s="50">
        <f t="shared" si="62"/>
        <v>0.25</v>
      </c>
      <c r="CJ27" s="50">
        <v>0.75</v>
      </c>
      <c r="CK27" s="50">
        <f t="shared" si="63"/>
        <v>0.1875</v>
      </c>
      <c r="CL27" s="50">
        <v>44.3</v>
      </c>
      <c r="CM27" s="50">
        <f t="shared" si="64"/>
        <v>8.3062499999999986</v>
      </c>
      <c r="CN27" s="50">
        <v>72.512080209241503</v>
      </c>
      <c r="CO27" s="50">
        <f>15.8206501432308/1000</f>
        <v>1.5820650143230801E-2</v>
      </c>
      <c r="CP27" s="50">
        <f>0.84755262174617/1000</f>
        <v>8.4755262174616996E-4</v>
      </c>
      <c r="CQ27" s="76">
        <f t="shared" si="20"/>
        <v>13.474370502538285</v>
      </c>
      <c r="CR27" s="76">
        <f t="shared" si="35"/>
        <v>977.05463464909383</v>
      </c>
      <c r="CS27" s="76">
        <f>$CQ27*CO27</f>
        <v>0.21317330162092721</v>
      </c>
      <c r="CT27" s="76">
        <f>$CQ27*CP27</f>
        <v>1.1420238045805581E-2</v>
      </c>
      <c r="CU27" s="738">
        <f t="shared" si="22"/>
        <v>986.04985017661829</v>
      </c>
      <c r="CV27" s="50">
        <v>2.34</v>
      </c>
      <c r="CW27" s="50">
        <f t="shared" si="23"/>
        <v>948985.01056251593</v>
      </c>
      <c r="CX27" s="475">
        <f t="shared" si="65"/>
        <v>948.98501056251598</v>
      </c>
      <c r="CY27" s="50">
        <v>512.9</v>
      </c>
      <c r="CZ27" s="475">
        <f t="shared" si="24"/>
        <v>832.02463575643492</v>
      </c>
      <c r="DB27" s="76"/>
      <c r="DC27" s="76"/>
      <c r="DD27" s="76"/>
      <c r="DE27" s="76"/>
      <c r="DG27" s="718" t="s">
        <v>199</v>
      </c>
      <c r="DH27" s="709">
        <v>5748</v>
      </c>
      <c r="DI27" s="709">
        <v>2775</v>
      </c>
      <c r="DJ27" s="710">
        <v>0.48</v>
      </c>
      <c r="DK27" s="711">
        <v>41.09</v>
      </c>
      <c r="DL27" s="719">
        <v>14999</v>
      </c>
      <c r="DM27" s="162">
        <f t="shared" si="79"/>
        <v>1.8259792242447347E-2</v>
      </c>
      <c r="DN27" s="162">
        <f t="shared" si="80"/>
        <v>5.2192066805845506E-4</v>
      </c>
      <c r="DO27" s="162">
        <f t="shared" si="80"/>
        <v>0</v>
      </c>
      <c r="DQ27" s="76">
        <f t="shared" si="81"/>
        <v>4.4997000000000002E-2</v>
      </c>
      <c r="DR27" s="162">
        <f t="shared" si="7"/>
        <v>1.0593191619743885E-5</v>
      </c>
      <c r="DT27" s="50" t="str">
        <f>DG21</f>
        <v>Vörubifreiðar &gt;12t</v>
      </c>
      <c r="DU27" s="50" t="s">
        <v>158</v>
      </c>
      <c r="DV27" s="189">
        <f>DR13</f>
        <v>9.2119592142013082E-4</v>
      </c>
      <c r="DW27" s="76">
        <f t="shared" si="25"/>
        <v>1.2325978412356815</v>
      </c>
      <c r="DX27" s="50">
        <v>25</v>
      </c>
      <c r="DY27" s="50">
        <f t="shared" si="66"/>
        <v>0.25</v>
      </c>
      <c r="DZ27" s="50">
        <v>0.75</v>
      </c>
      <c r="EA27" s="50">
        <f t="shared" si="67"/>
        <v>0.1875</v>
      </c>
      <c r="EB27" s="50">
        <v>44.3</v>
      </c>
      <c r="EC27" s="50">
        <f t="shared" si="68"/>
        <v>8.3062499999999986</v>
      </c>
      <c r="ED27" s="50">
        <v>72.512080209241503</v>
      </c>
      <c r="EE27" s="50">
        <f>15.8206501432308/1000</f>
        <v>1.5820650143230801E-2</v>
      </c>
      <c r="EF27" s="50">
        <f>0.84755262174617/1000</f>
        <v>8.4755262174616996E-4</v>
      </c>
      <c r="EG27" s="76">
        <f t="shared" si="26"/>
        <v>10.238265818763878</v>
      </c>
      <c r="EH27" s="76">
        <f t="shared" si="40"/>
        <v>742.39795225374201</v>
      </c>
      <c r="EI27" s="76">
        <f>$EG27*EE27</f>
        <v>0.16197602159206176</v>
      </c>
      <c r="EJ27" s="76">
        <f>$EG27*EF27</f>
        <v>8.6774690368275221E-3</v>
      </c>
      <c r="EK27" s="738">
        <f t="shared" si="28"/>
        <v>749.23281015307907</v>
      </c>
      <c r="EL27" s="50">
        <v>2.34</v>
      </c>
      <c r="EM27" s="50">
        <f t="shared" si="29"/>
        <v>721069.73712287354</v>
      </c>
      <c r="EN27" s="475">
        <f t="shared" si="69"/>
        <v>721.06973712287356</v>
      </c>
      <c r="EO27" s="50">
        <v>512.9</v>
      </c>
      <c r="EP27" s="475">
        <f t="shared" si="30"/>
        <v>632.19943276978097</v>
      </c>
    </row>
    <row r="28" spans="1:166" ht="16.5" customHeight="1" thickBot="1" x14ac:dyDescent="0.8">
      <c r="A28" s="883"/>
      <c r="B28" s="396" t="s">
        <v>17</v>
      </c>
      <c r="C28" s="397">
        <v>42024</v>
      </c>
      <c r="D28" s="398">
        <v>42513</v>
      </c>
      <c r="E28" s="399">
        <v>40787</v>
      </c>
      <c r="F28" s="441">
        <v>125324</v>
      </c>
      <c r="G28" s="439">
        <v>594517</v>
      </c>
      <c r="H28" s="899"/>
      <c r="I28" s="417">
        <v>4.4619553058738722E-2</v>
      </c>
      <c r="J28" s="418">
        <v>3.0547273737935216E-2</v>
      </c>
      <c r="K28" s="419">
        <v>3.769085549630713E-2</v>
      </c>
      <c r="L28" s="420">
        <v>3.769085549630713E-2</v>
      </c>
      <c r="M28" s="588">
        <v>4.3311761643636926E-2</v>
      </c>
      <c r="Q28" s="164">
        <f t="shared" ref="Q28:W28" si="83">(Q25-Q18)/Q18</f>
        <v>0.32831075100692003</v>
      </c>
      <c r="R28" s="164">
        <f t="shared" si="83"/>
        <v>0.32831075100692009</v>
      </c>
      <c r="S28" s="164">
        <f t="shared" si="83"/>
        <v>0.32831075100691998</v>
      </c>
      <c r="T28" s="164">
        <f t="shared" si="83"/>
        <v>0.32831075100691992</v>
      </c>
      <c r="U28" s="164">
        <f t="shared" si="83"/>
        <v>0.32831075100691998</v>
      </c>
      <c r="V28" s="164">
        <f t="shared" si="83"/>
        <v>0.3283107510069197</v>
      </c>
      <c r="W28" s="164">
        <f t="shared" si="83"/>
        <v>0.3283107510069197</v>
      </c>
      <c r="AA28" s="720" t="s">
        <v>472</v>
      </c>
      <c r="AB28" s="714">
        <v>1419</v>
      </c>
      <c r="AC28" s="712">
        <v>708</v>
      </c>
      <c r="AD28" s="713">
        <v>0.5</v>
      </c>
      <c r="AE28" s="712">
        <v>40.450000000000003</v>
      </c>
      <c r="AF28" s="721">
        <v>14764</v>
      </c>
      <c r="AH28" s="162">
        <f t="shared" si="76"/>
        <v>5.2630602896723104E-3</v>
      </c>
      <c r="AI28" s="162">
        <f t="shared" si="76"/>
        <v>2.6259666561578546E-3</v>
      </c>
      <c r="AK28" s="76">
        <f>AF28*AB28/1000000</f>
        <v>20.950116000000001</v>
      </c>
      <c r="AL28" s="162">
        <f t="shared" si="4"/>
        <v>5.027254279090323E-3</v>
      </c>
      <c r="AO28" s="50" t="s">
        <v>25</v>
      </c>
      <c r="AP28" s="255">
        <f>AL21</f>
        <v>3.9535258413786592E-2</v>
      </c>
      <c r="AQ28" s="76">
        <f t="shared" si="8"/>
        <v>48.026834560648616</v>
      </c>
      <c r="AR28" s="50">
        <v>21.22</v>
      </c>
      <c r="AS28" s="50">
        <f t="shared" si="58"/>
        <v>0.2122</v>
      </c>
      <c r="AT28" s="50">
        <v>0.86499999999999999</v>
      </c>
      <c r="AU28" s="50">
        <f t="shared" si="59"/>
        <v>0.18355299999999999</v>
      </c>
      <c r="AV28" s="50">
        <v>43</v>
      </c>
      <c r="AW28" s="50">
        <f t="shared" si="60"/>
        <v>7.892779</v>
      </c>
      <c r="AX28" s="50">
        <v>73.367479939063301</v>
      </c>
      <c r="AY28" s="50">
        <f>2.07749454663654/1000</f>
        <v>2.0774945466365403E-3</v>
      </c>
      <c r="AZ28" s="50">
        <f>2.35970659533889/1000</f>
        <v>2.3597065953388898E-3</v>
      </c>
      <c r="BA28" s="76">
        <f t="shared" si="12"/>
        <v>379.06519125676164</v>
      </c>
      <c r="BB28" s="76">
        <f t="shared" si="13"/>
        <v>27811.057815127653</v>
      </c>
      <c r="BC28" s="76">
        <f t="shared" si="14"/>
        <v>0.78750586765565944</v>
      </c>
      <c r="BD28" s="76">
        <f t="shared" si="15"/>
        <v>0.89448263187197807</v>
      </c>
      <c r="BE28" s="738">
        <f t="shared" si="31"/>
        <v>28070.145876868086</v>
      </c>
      <c r="BF28" s="50">
        <v>2.72</v>
      </c>
      <c r="BG28" s="50">
        <f t="shared" si="16"/>
        <v>27720320.479053412</v>
      </c>
      <c r="BH28" s="738">
        <f t="shared" si="61"/>
        <v>27720.320479053411</v>
      </c>
      <c r="BI28" s="50">
        <v>630.9</v>
      </c>
      <c r="BJ28" s="738">
        <f t="shared" si="18"/>
        <v>30300.129924313213</v>
      </c>
      <c r="BQ28" s="228" t="s">
        <v>201</v>
      </c>
      <c r="BR28" s="229">
        <v>6961</v>
      </c>
      <c r="BS28" s="229">
        <v>3398</v>
      </c>
      <c r="BT28" s="230">
        <v>0.49</v>
      </c>
      <c r="BU28" s="231">
        <v>67.81</v>
      </c>
      <c r="BV28" s="232">
        <v>24751</v>
      </c>
      <c r="BW28" s="162">
        <f t="shared" si="77"/>
        <v>2.2113154801613775E-2</v>
      </c>
      <c r="BX28" s="162">
        <f t="shared" si="82"/>
        <v>4.1660680936647029E-3</v>
      </c>
      <c r="BY28" s="162">
        <f t="shared" si="82"/>
        <v>2.0600353148911123E-3</v>
      </c>
      <c r="CA28" s="76">
        <f t="shared" si="78"/>
        <v>0.71777899999999994</v>
      </c>
      <c r="CB28" s="162">
        <f t="shared" si="6"/>
        <v>1.6897949835829377E-4</v>
      </c>
      <c r="CE28" s="50" t="s">
        <v>25</v>
      </c>
      <c r="CF28" s="189">
        <f>CB21</f>
        <v>4.0350383840320928E-2</v>
      </c>
      <c r="CG28" s="76">
        <f t="shared" si="19"/>
        <v>54.589063886438197</v>
      </c>
      <c r="CH28" s="50">
        <v>21.22</v>
      </c>
      <c r="CI28" s="50">
        <f t="shared" si="62"/>
        <v>0.2122</v>
      </c>
      <c r="CJ28" s="50">
        <v>0.86499999999999999</v>
      </c>
      <c r="CK28" s="50">
        <f t="shared" si="63"/>
        <v>0.18355299999999999</v>
      </c>
      <c r="CL28" s="50">
        <v>43</v>
      </c>
      <c r="CM28" s="50">
        <f t="shared" si="64"/>
        <v>7.892779</v>
      </c>
      <c r="CN28" s="50">
        <v>73.367479939063315</v>
      </c>
      <c r="CO28" s="50">
        <f>2.07749454663654/1000</f>
        <v>2.0774945466365403E-3</v>
      </c>
      <c r="CP28" s="50">
        <f>2.35970659533889/1000</f>
        <v>2.3597065953388898E-3</v>
      </c>
      <c r="CQ28" s="76">
        <f t="shared" si="20"/>
        <v>430.85941707253778</v>
      </c>
      <c r="CR28" s="76">
        <f t="shared" si="35"/>
        <v>31611.06963862593</v>
      </c>
      <c r="CS28" s="76">
        <f>$CQ28*CO28</f>
        <v>0.89510808933519592</v>
      </c>
      <c r="CT28" s="76">
        <f>$CQ28*CP28</f>
        <v>1.0167018081299368</v>
      </c>
      <c r="CU28" s="738">
        <f t="shared" si="22"/>
        <v>31905.558644281748</v>
      </c>
      <c r="CV28" s="50">
        <v>2.72</v>
      </c>
      <c r="CW28" s="50">
        <f t="shared" si="23"/>
        <v>31507934.250229947</v>
      </c>
      <c r="CX28" s="475">
        <f t="shared" si="65"/>
        <v>31507.934250229948</v>
      </c>
      <c r="CY28" s="50">
        <v>630.9</v>
      </c>
      <c r="CZ28" s="475">
        <f t="shared" si="24"/>
        <v>34440.24040595386</v>
      </c>
      <c r="DB28" s="76"/>
      <c r="DC28" s="76"/>
      <c r="DD28" s="76"/>
      <c r="DE28" s="76"/>
      <c r="DG28" s="741" t="s">
        <v>201</v>
      </c>
      <c r="DH28" s="742">
        <v>6735</v>
      </c>
      <c r="DI28" s="742">
        <v>3233</v>
      </c>
      <c r="DJ28" s="743">
        <v>0.48</v>
      </c>
      <c r="DK28" s="744">
        <v>69.61</v>
      </c>
      <c r="DL28" s="745">
        <v>25409</v>
      </c>
      <c r="DM28" s="162">
        <f t="shared" si="79"/>
        <v>2.1395215858191177E-2</v>
      </c>
      <c r="DN28" s="162">
        <f t="shared" si="80"/>
        <v>4.0089086859688193E-3</v>
      </c>
      <c r="DO28" s="162">
        <f t="shared" si="80"/>
        <v>2.1651716671821837E-3</v>
      </c>
      <c r="DQ28" s="76">
        <f t="shared" si="81"/>
        <v>0.68604299999999996</v>
      </c>
      <c r="DR28" s="162">
        <f t="shared" si="7"/>
        <v>1.6150821073369231E-4</v>
      </c>
      <c r="DU28" s="50" t="s">
        <v>25</v>
      </c>
      <c r="DV28" s="189">
        <f>DR21</f>
        <v>4.0104480166099216E-2</v>
      </c>
      <c r="DW28" s="76">
        <f t="shared" si="25"/>
        <v>53.66143566984843</v>
      </c>
      <c r="DX28" s="50">
        <v>21.22</v>
      </c>
      <c r="DY28" s="50">
        <f t="shared" si="66"/>
        <v>0.2122</v>
      </c>
      <c r="DZ28" s="50">
        <v>0.86499999999999999</v>
      </c>
      <c r="EA28" s="50">
        <f t="shared" si="67"/>
        <v>0.18355299999999999</v>
      </c>
      <c r="EB28" s="50">
        <v>43</v>
      </c>
      <c r="EC28" s="50">
        <f t="shared" si="68"/>
        <v>7.892779</v>
      </c>
      <c r="ED28" s="50">
        <v>73.367479939063315</v>
      </c>
      <c r="EE28" s="50">
        <f>2.07749454663654/1000</f>
        <v>2.0774945466365403E-3</v>
      </c>
      <c r="EF28" s="50">
        <f>2.35970659533889/1000</f>
        <v>2.3597065953388898E-3</v>
      </c>
      <c r="EG28" s="76">
        <f t="shared" si="26"/>
        <v>423.53785256483064</v>
      </c>
      <c r="EH28" s="76">
        <f t="shared" si="40"/>
        <v>31073.904901484169</v>
      </c>
      <c r="EI28" s="76">
        <f>$EG28*EE28</f>
        <v>0.87989757899758669</v>
      </c>
      <c r="EJ28" s="76">
        <f>$EG28*EF28</f>
        <v>0.99942506407290121</v>
      </c>
      <c r="EK28" s="738">
        <f t="shared" si="28"/>
        <v>31363.389675675422</v>
      </c>
      <c r="EL28" s="50">
        <v>2.72</v>
      </c>
      <c r="EM28" s="50">
        <f t="shared" si="29"/>
        <v>30972522.085665796</v>
      </c>
      <c r="EN28" s="475">
        <f t="shared" si="69"/>
        <v>30972.522085665794</v>
      </c>
      <c r="EO28" s="50">
        <v>630.9</v>
      </c>
      <c r="EP28" s="475">
        <f t="shared" si="30"/>
        <v>33854.999764107371</v>
      </c>
    </row>
    <row r="29" spans="1:166" ht="16.5" customHeight="1" thickBot="1" x14ac:dyDescent="0.8">
      <c r="A29" s="883"/>
      <c r="B29" s="396" t="s">
        <v>18</v>
      </c>
      <c r="C29" s="397">
        <v>39411</v>
      </c>
      <c r="D29" s="398">
        <v>41522</v>
      </c>
      <c r="E29" s="399">
        <v>40763</v>
      </c>
      <c r="F29" s="441">
        <v>121696</v>
      </c>
      <c r="G29" s="439">
        <v>716213</v>
      </c>
      <c r="H29" s="899"/>
      <c r="I29" s="417">
        <v>8.6762899262899269E-3</v>
      </c>
      <c r="J29" s="418">
        <v>9.4598945048413857E-3</v>
      </c>
      <c r="K29" s="419">
        <v>7.5673527512378769E-3</v>
      </c>
      <c r="L29" s="420">
        <v>7.5673527512378769E-3</v>
      </c>
      <c r="M29" s="588">
        <v>3.7060434854939039E-2</v>
      </c>
      <c r="AA29" s="731" t="s">
        <v>218</v>
      </c>
      <c r="AB29" s="732"/>
      <c r="AC29" s="732"/>
      <c r="AD29" s="732"/>
      <c r="AE29" s="732"/>
      <c r="AF29" s="733"/>
      <c r="AK29" s="76">
        <f>AF29*AB29/1000000</f>
        <v>0</v>
      </c>
      <c r="AL29" s="162">
        <f t="shared" si="4"/>
        <v>0</v>
      </c>
      <c r="BR29" s="112">
        <f>SUM(BR23:BR28)</f>
        <v>314790</v>
      </c>
      <c r="CA29" s="76">
        <f t="shared" ref="CA29:CA34" si="84">CA9+CA16+CA23</f>
        <v>3482.7799809999997</v>
      </c>
      <c r="CB29" s="162">
        <f t="shared" si="6"/>
        <v>0.81991589901862261</v>
      </c>
      <c r="CU29" s="475"/>
      <c r="CX29" s="475"/>
      <c r="CZ29" s="475"/>
      <c r="DH29" s="112">
        <f>SUM(DH23:DH28)</f>
        <v>311123</v>
      </c>
      <c r="DQ29" s="76">
        <f t="shared" ref="DQ29:DQ34" si="85">DQ9+DQ16+DQ23</f>
        <v>3450.0118620000003</v>
      </c>
      <c r="DR29" s="162">
        <f t="shared" si="7"/>
        <v>0.81220162998767464</v>
      </c>
      <c r="EK29" s="475"/>
      <c r="EN29" s="475"/>
      <c r="EP29" s="475"/>
    </row>
    <row r="30" spans="1:166" ht="16.5" customHeight="1" thickBot="1" x14ac:dyDescent="0.8">
      <c r="A30" s="883"/>
      <c r="B30" s="396" t="s">
        <v>19</v>
      </c>
      <c r="C30" s="397">
        <v>35789</v>
      </c>
      <c r="D30" s="398">
        <v>39723</v>
      </c>
      <c r="E30" s="399">
        <v>39963</v>
      </c>
      <c r="F30" s="400">
        <v>115475</v>
      </c>
      <c r="G30" s="439">
        <v>831688</v>
      </c>
      <c r="H30" s="899"/>
      <c r="I30" s="417">
        <v>3.4573468620819239E-2</v>
      </c>
      <c r="J30" s="418">
        <v>3.1016315666585661E-2</v>
      </c>
      <c r="K30" s="419">
        <v>2.9310196741624051E-2</v>
      </c>
      <c r="L30" s="420">
        <v>2.9310196741624051E-2</v>
      </c>
      <c r="M30" s="588">
        <v>3.5977389651791203E-2</v>
      </c>
      <c r="AA30" s="720" t="s">
        <v>169</v>
      </c>
      <c r="AB30" s="714">
        <v>269615</v>
      </c>
      <c r="AC30" s="714">
        <v>132157</v>
      </c>
      <c r="AD30" s="713">
        <v>0.49</v>
      </c>
      <c r="AE30" s="712">
        <v>34.700000000000003</v>
      </c>
      <c r="AF30" s="721">
        <v>12665</v>
      </c>
      <c r="AH30" s="162">
        <f t="shared" ref="AH30:AH35" si="86">AB30/$AB$37</f>
        <v>0.85512252056810467</v>
      </c>
      <c r="AJ30" s="76">
        <f t="shared" ref="AJ30:AJ35" si="87">AE30*365*AB30/1000000</f>
        <v>3414.8087825000007</v>
      </c>
      <c r="AK30" s="76">
        <f>AK9+AK16+AK23+AK25+AK24+AK26+AK27+AK28</f>
        <v>3440.7458899999992</v>
      </c>
      <c r="AL30" s="162">
        <f t="shared" si="4"/>
        <v>0.82565196769148863</v>
      </c>
      <c r="AP30" s="189"/>
      <c r="AQ30" s="76"/>
      <c r="BA30" s="76">
        <f>SUM(BA11:BA29)</f>
        <v>4267.5058368225282</v>
      </c>
      <c r="BB30" s="76">
        <f>SUM(BB11:BB29)</f>
        <v>311669.58258225967</v>
      </c>
      <c r="BC30" s="76">
        <f>SUM(BC11:BC29)</f>
        <v>13.229067824986219</v>
      </c>
      <c r="BD30" s="76">
        <f>SUM(BD11:BD29)</f>
        <v>8.2250103691629715</v>
      </c>
      <c r="BE30" s="738">
        <f>BB30+BC30*BC8+BD30*BD8</f>
        <v>314219.6242291875</v>
      </c>
      <c r="BG30" s="76">
        <f>SUM(BG11:BG29)</f>
        <v>311994439.83959639</v>
      </c>
      <c r="BH30" s="738">
        <f>SUM(BH11:BH29)</f>
        <v>311994.43983959634</v>
      </c>
      <c r="BJ30" s="475">
        <f>SUM(BJ11:BJ28)</f>
        <v>282883.58655835706</v>
      </c>
      <c r="BQ30" s="50" t="str">
        <f t="shared" ref="BQ30:BQ35" si="88">BQ23</f>
        <v>Fólksbifreiðar</v>
      </c>
      <c r="BR30" s="112">
        <f t="shared" ref="BR30:BS35" si="89">BR23-(BR9+BR16)</f>
        <v>18978</v>
      </c>
      <c r="BS30" s="112">
        <f t="shared" si="89"/>
        <v>2842</v>
      </c>
      <c r="BT30" s="112"/>
      <c r="BU30" s="162">
        <f t="shared" ref="BU30:BU35" si="90">BR30/BR23</f>
        <v>7.0334476049291203E-2</v>
      </c>
      <c r="BV30" s="112"/>
      <c r="CA30" s="76">
        <f t="shared" si="84"/>
        <v>35.946202999999997</v>
      </c>
      <c r="CB30" s="162">
        <f t="shared" si="6"/>
        <v>8.4624534164769311E-3</v>
      </c>
      <c r="CF30" s="189"/>
      <c r="CG30" s="76"/>
      <c r="CQ30" s="76">
        <f>SUM(CQ11:CQ29)</f>
        <v>4773.2539856640888</v>
      </c>
      <c r="CR30" s="76">
        <f>SUM(CR11:CR29)</f>
        <v>348588.36764127942</v>
      </c>
      <c r="CS30" s="76">
        <f>SUM(CS11:CS29)</f>
        <v>15.120934635559038</v>
      </c>
      <c r="CT30" s="76">
        <f>SUM(CT11:CT29)</f>
        <v>8.9659963010579506</v>
      </c>
      <c r="CU30" s="738">
        <f>CR30+CS30*CS8+CT30*CT8</f>
        <v>351387.74283085542</v>
      </c>
      <c r="CW30" s="76">
        <f>SUM(CW11:CW29)</f>
        <v>349950675.40065271</v>
      </c>
      <c r="CX30" s="738">
        <f>SUM(CX11:CX29)</f>
        <v>349950.67540065275</v>
      </c>
      <c r="CZ30" s="475">
        <f>SUM(CZ11:CZ28)</f>
        <v>313037.37046740734</v>
      </c>
      <c r="DB30" s="76"/>
      <c r="DC30" s="76"/>
      <c r="DD30" s="76"/>
      <c r="DE30" s="76"/>
      <c r="DG30" s="50" t="str">
        <f t="shared" ref="DG30:DG35" si="91">DG23</f>
        <v>Fólksbifreiðar</v>
      </c>
      <c r="DH30" s="112">
        <f t="shared" ref="DH30:DI35" si="92">DH23-(DH9+DH16)</f>
        <v>14848</v>
      </c>
      <c r="DI30" s="112">
        <f t="shared" si="92"/>
        <v>-3962</v>
      </c>
      <c r="DJ30" s="112"/>
      <c r="DK30" s="162">
        <f t="shared" ref="DK30:DK35" si="93">DH30/DH23</f>
        <v>5.5530830307087588E-2</v>
      </c>
      <c r="DL30" s="112"/>
      <c r="DQ30" s="76">
        <f t="shared" si="85"/>
        <v>38.655129999999993</v>
      </c>
      <c r="DR30" s="162">
        <f t="shared" si="7"/>
        <v>9.1001888831724418E-3</v>
      </c>
      <c r="DV30" s="189"/>
      <c r="DW30" s="76"/>
      <c r="EG30" s="76">
        <f>SUM(EG11:EG29)</f>
        <v>4694.2374456076768</v>
      </c>
      <c r="EH30" s="76">
        <f>SUM(EH11:EH29)</f>
        <v>342760.7101142662</v>
      </c>
      <c r="EI30" s="76">
        <f>SUM(EI11:EI29)</f>
        <v>15.306101446874012</v>
      </c>
      <c r="EJ30" s="76">
        <f>SUM(EJ11:EJ29)</f>
        <v>8.7282008632460517</v>
      </c>
      <c r="EK30" s="738">
        <f>EH30+EI30*EI8+EJ30*EJ8</f>
        <v>345502.25418353884</v>
      </c>
      <c r="EM30" s="76">
        <f>SUM(EM11:EM29)</f>
        <v>342849862.39102733</v>
      </c>
      <c r="EN30" s="738">
        <f>SUM(EN11:EN29)</f>
        <v>342849.86239102727</v>
      </c>
      <c r="EP30" s="475">
        <f>SUM(EP11:EP28)</f>
        <v>309715.36567476881</v>
      </c>
    </row>
    <row r="31" spans="1:166" ht="16.5" customHeight="1" thickBot="1" x14ac:dyDescent="0.8">
      <c r="A31" s="883"/>
      <c r="B31" s="396" t="s">
        <v>20</v>
      </c>
      <c r="C31" s="397">
        <v>38871</v>
      </c>
      <c r="D31" s="398">
        <v>40298.173510925189</v>
      </c>
      <c r="E31" s="399">
        <v>40485</v>
      </c>
      <c r="F31" s="400">
        <v>119654.17351092519</v>
      </c>
      <c r="G31" s="439">
        <v>951342.17351092515</v>
      </c>
      <c r="H31" s="899"/>
      <c r="I31" s="417">
        <v>7.9085204584348912E-3</v>
      </c>
      <c r="J31" s="418">
        <v>2.6505455704659498E-2</v>
      </c>
      <c r="K31" s="419">
        <v>9.5811009062556352E-3</v>
      </c>
      <c r="L31" s="420">
        <v>9.5811009062556352E-3</v>
      </c>
      <c r="M31" s="588">
        <v>3.2581784222394994E-2</v>
      </c>
      <c r="O31" s="248">
        <v>2012</v>
      </c>
      <c r="AA31" s="718" t="s">
        <v>190</v>
      </c>
      <c r="AB31" s="709">
        <v>1356</v>
      </c>
      <c r="AC31" s="711">
        <v>608</v>
      </c>
      <c r="AD31" s="710">
        <v>0.45</v>
      </c>
      <c r="AE31" s="711">
        <v>56.72</v>
      </c>
      <c r="AF31" s="719">
        <v>20704</v>
      </c>
      <c r="AH31" s="162">
        <f t="shared" si="86"/>
        <v>4.3007478734133856E-3</v>
      </c>
      <c r="AJ31" s="76">
        <f t="shared" si="87"/>
        <v>28.072996800000002</v>
      </c>
      <c r="AK31" s="76">
        <f>AK11+AK17</f>
        <v>27.639108</v>
      </c>
      <c r="AL31" s="162">
        <f t="shared" si="4"/>
        <v>6.6323653751243945E-3</v>
      </c>
      <c r="BQ31" s="50" t="str">
        <f t="shared" si="88"/>
        <v>Hópbifreiðar ≤5t</v>
      </c>
      <c r="BR31" s="112">
        <f t="shared" si="89"/>
        <v>-12</v>
      </c>
      <c r="BS31" s="112">
        <f t="shared" si="89"/>
        <v>0</v>
      </c>
      <c r="BT31" s="112"/>
      <c r="BU31" s="162">
        <f t="shared" si="90"/>
        <v>-8.658008658008658E-3</v>
      </c>
      <c r="BV31" s="112"/>
      <c r="CA31" s="76">
        <f t="shared" si="84"/>
        <v>83.429393000000005</v>
      </c>
      <c r="CB31" s="162">
        <f t="shared" si="6"/>
        <v>1.9640943768871683E-2</v>
      </c>
      <c r="CU31" s="475"/>
      <c r="CX31" s="475"/>
      <c r="CZ31" s="475"/>
      <c r="DG31" s="50" t="str">
        <f t="shared" si="91"/>
        <v>Hópbifreiðar ≤5t</v>
      </c>
      <c r="DH31" s="112">
        <f t="shared" si="92"/>
        <v>4</v>
      </c>
      <c r="DI31" s="112">
        <f t="shared" si="92"/>
        <v>0</v>
      </c>
      <c r="DJ31" s="112"/>
      <c r="DK31" s="162">
        <f t="shared" si="93"/>
        <v>2.7624309392265192E-3</v>
      </c>
      <c r="DL31" s="112"/>
      <c r="DQ31" s="76">
        <f t="shared" si="85"/>
        <v>81.859247000000011</v>
      </c>
      <c r="DR31" s="162">
        <f t="shared" si="7"/>
        <v>1.9271300071536875E-2</v>
      </c>
      <c r="EK31" s="475"/>
      <c r="EN31" s="475"/>
      <c r="EP31" s="475"/>
    </row>
    <row r="32" spans="1:166" ht="16.5" customHeight="1" thickBot="1" x14ac:dyDescent="0.8">
      <c r="A32" s="883"/>
      <c r="B32" s="396" t="s">
        <v>211</v>
      </c>
      <c r="C32" s="397">
        <v>42702.306473651028</v>
      </c>
      <c r="D32" s="398">
        <v>41641</v>
      </c>
      <c r="E32" s="399">
        <v>41129</v>
      </c>
      <c r="F32" s="400">
        <v>125472.30647365103</v>
      </c>
      <c r="G32" s="439">
        <v>1076814.4799845761</v>
      </c>
      <c r="H32" s="899"/>
      <c r="I32" s="417">
        <v>3.5107055646750082E-2</v>
      </c>
      <c r="J32" s="418">
        <v>5.5835087539148738E-2</v>
      </c>
      <c r="K32" s="419">
        <v>3.3612647239118054E-2</v>
      </c>
      <c r="L32" s="420">
        <v>3.3612647239118054E-2</v>
      </c>
      <c r="M32" s="588">
        <v>3.2701796332402111E-2</v>
      </c>
      <c r="O32" s="248">
        <v>2013</v>
      </c>
      <c r="AA32" s="720" t="s">
        <v>193</v>
      </c>
      <c r="AB32" s="714">
        <v>1749</v>
      </c>
      <c r="AC32" s="712">
        <v>795</v>
      </c>
      <c r="AD32" s="713">
        <v>0.45</v>
      </c>
      <c r="AE32" s="712">
        <v>113.34</v>
      </c>
      <c r="AF32" s="721">
        <v>41368</v>
      </c>
      <c r="AH32" s="162">
        <f t="shared" si="86"/>
        <v>5.5472035623893891E-3</v>
      </c>
      <c r="AJ32" s="76">
        <f t="shared" si="87"/>
        <v>72.354555899999994</v>
      </c>
      <c r="AK32" s="76">
        <f>AK12+AK18</f>
        <v>132.90707400000002</v>
      </c>
      <c r="AL32" s="162">
        <f t="shared" si="4"/>
        <v>3.1892790306644332E-2</v>
      </c>
      <c r="BQ32" s="50" t="str">
        <f t="shared" si="88"/>
        <v>Hópbifreiðar &gt;5t</v>
      </c>
      <c r="BR32" s="112">
        <f t="shared" si="89"/>
        <v>21</v>
      </c>
      <c r="BS32" s="112">
        <f t="shared" si="89"/>
        <v>1</v>
      </c>
      <c r="BT32" s="112"/>
      <c r="BU32" s="162">
        <f t="shared" si="90"/>
        <v>1.171875E-2</v>
      </c>
      <c r="BV32" s="112"/>
      <c r="CA32" s="76">
        <f t="shared" si="84"/>
        <v>390.29391499999997</v>
      </c>
      <c r="CB32" s="162">
        <f t="shared" si="6"/>
        <v>9.1882975078672616E-2</v>
      </c>
      <c r="CU32" s="475"/>
      <c r="CX32" s="475"/>
      <c r="CZ32" s="475"/>
      <c r="DG32" s="50" t="str">
        <f t="shared" si="91"/>
        <v>Hópbifreiðar &gt;5t</v>
      </c>
      <c r="DH32" s="112">
        <f t="shared" si="92"/>
        <v>21</v>
      </c>
      <c r="DI32" s="112">
        <f t="shared" si="92"/>
        <v>1</v>
      </c>
      <c r="DJ32" s="112"/>
      <c r="DK32" s="162">
        <f t="shared" si="93"/>
        <v>1.2E-2</v>
      </c>
      <c r="DL32" s="112"/>
      <c r="DQ32" s="76">
        <f t="shared" si="85"/>
        <v>376.86854900000003</v>
      </c>
      <c r="DR32" s="162">
        <f t="shared" si="7"/>
        <v>8.8722376047555118E-2</v>
      </c>
      <c r="EK32" s="475"/>
      <c r="EN32" s="475"/>
      <c r="EP32" s="475"/>
    </row>
    <row r="33" spans="1:146" ht="16.5" customHeight="1" thickBot="1" x14ac:dyDescent="0.8">
      <c r="A33" s="883"/>
      <c r="B33" s="396" t="s">
        <v>213</v>
      </c>
      <c r="C33" s="397">
        <v>43343.136815972022</v>
      </c>
      <c r="D33" s="398">
        <v>42356</v>
      </c>
      <c r="E33" s="399">
        <v>40267</v>
      </c>
      <c r="F33" s="400">
        <v>125966.13681597202</v>
      </c>
      <c r="G33" s="439">
        <v>1202780.616800548</v>
      </c>
      <c r="H33" s="899"/>
      <c r="I33" s="417">
        <v>9.8573954883459783E-2</v>
      </c>
      <c r="J33" s="418">
        <v>8.2009942227596402E-2</v>
      </c>
      <c r="K33" s="419">
        <v>8.522267532756711E-2</v>
      </c>
      <c r="L33" s="420">
        <v>8.522267532756711E-2</v>
      </c>
      <c r="M33" s="588">
        <v>3.7962723298757828E-2</v>
      </c>
      <c r="O33" s="248">
        <v>2014</v>
      </c>
      <c r="AA33" s="718" t="s">
        <v>197</v>
      </c>
      <c r="AB33" s="709">
        <v>29461</v>
      </c>
      <c r="AC33" s="709">
        <v>15234</v>
      </c>
      <c r="AD33" s="710">
        <v>0.52</v>
      </c>
      <c r="AE33" s="711">
        <v>36.14</v>
      </c>
      <c r="AF33" s="719">
        <v>13192</v>
      </c>
      <c r="AH33" s="162">
        <f t="shared" si="86"/>
        <v>9.3439773671557341E-2</v>
      </c>
      <c r="AJ33" s="76">
        <f t="shared" si="87"/>
        <v>388.62299710000002</v>
      </c>
      <c r="AK33" s="76">
        <f>AK13+AK19</f>
        <v>323.39868100000001</v>
      </c>
      <c r="AL33" s="162">
        <f t="shared" si="4"/>
        <v>7.7603742285217728E-2</v>
      </c>
      <c r="AV33" s="76">
        <f>BA21+BA22</f>
        <v>521.78985324160908</v>
      </c>
      <c r="AW33" s="162">
        <f>AV33/$AV$36</f>
        <v>0.47497515181670863</v>
      </c>
      <c r="BA33" s="124">
        <f>BA11+BA14+BA15+BA18+BA19+BA21</f>
        <v>1483.7240202545895</v>
      </c>
      <c r="BB33" s="124">
        <f>BB11+BB14+BB15+BB18+BB19+BB21</f>
        <v>107446.16148784876</v>
      </c>
      <c r="BC33" s="124">
        <f>BC11+BC14+BC15+BC18+BC19+BC21</f>
        <v>11.689558754759702</v>
      </c>
      <c r="BD33" s="124">
        <f>BD11+BD14+BD15+BD18+BD19+BD21</f>
        <v>1.3875940513407452</v>
      </c>
      <c r="BE33" s="124">
        <f>BE11+BE14+BE15+BE18+BE19+BE21</f>
        <v>108141.18155658733</v>
      </c>
      <c r="BQ33" s="50" t="str">
        <f t="shared" si="88"/>
        <v>Sendibifreiðar</v>
      </c>
      <c r="BR33" s="112">
        <f t="shared" si="89"/>
        <v>448</v>
      </c>
      <c r="BS33" s="112">
        <f t="shared" si="89"/>
        <v>139</v>
      </c>
      <c r="BT33" s="112"/>
      <c r="BU33" s="162">
        <f t="shared" si="90"/>
        <v>1.5480839006185425E-2</v>
      </c>
      <c r="BV33" s="112"/>
      <c r="CA33" s="76">
        <f t="shared" si="84"/>
        <v>83.163577000000004</v>
      </c>
      <c r="CB33" s="162">
        <f t="shared" si="6"/>
        <v>1.957836537867692E-2</v>
      </c>
      <c r="CU33" s="475"/>
      <c r="CX33" s="475"/>
      <c r="CZ33" s="475"/>
      <c r="DG33" s="50" t="str">
        <f t="shared" si="91"/>
        <v>Sendibifreiðar</v>
      </c>
      <c r="DH33" s="112">
        <f t="shared" si="92"/>
        <v>376</v>
      </c>
      <c r="DI33" s="112">
        <f t="shared" si="92"/>
        <v>133</v>
      </c>
      <c r="DJ33" s="112"/>
      <c r="DK33" s="162">
        <f t="shared" si="93"/>
        <v>1.340033500837521E-2</v>
      </c>
      <c r="DL33" s="112"/>
      <c r="DQ33" s="76">
        <f t="shared" si="85"/>
        <v>82.855469999999983</v>
      </c>
      <c r="DR33" s="162">
        <f t="shared" si="7"/>
        <v>1.9505830843254898E-2</v>
      </c>
      <c r="EK33" s="475"/>
      <c r="EN33" s="475"/>
      <c r="EP33" s="475"/>
    </row>
    <row r="34" spans="1:146" ht="16.5" customHeight="1" thickBot="1" x14ac:dyDescent="0.8">
      <c r="A34" s="883"/>
      <c r="B34" s="589" t="s">
        <v>216</v>
      </c>
      <c r="C34" s="397">
        <v>43214</v>
      </c>
      <c r="D34" s="398">
        <v>41768</v>
      </c>
      <c r="E34" s="399">
        <v>38748.857885665217</v>
      </c>
      <c r="F34" s="400">
        <v>123730.85788566522</v>
      </c>
      <c r="G34" s="439">
        <v>1326511.4746862133</v>
      </c>
      <c r="H34" s="899"/>
      <c r="I34" s="417">
        <v>8.9996468748423541E-2</v>
      </c>
      <c r="J34" s="418">
        <v>4.4415457417999959E-2</v>
      </c>
      <c r="K34" s="419">
        <v>5.0364674151218258E-2</v>
      </c>
      <c r="L34" s="420">
        <v>5.0364674151218258E-2</v>
      </c>
      <c r="M34" s="588">
        <v>3.9107121675610257E-2</v>
      </c>
      <c r="O34" s="248">
        <v>2015</v>
      </c>
      <c r="AA34" s="720" t="s">
        <v>199</v>
      </c>
      <c r="AB34" s="714">
        <v>6073</v>
      </c>
      <c r="AC34" s="714">
        <v>2918</v>
      </c>
      <c r="AD34" s="713">
        <v>0.48</v>
      </c>
      <c r="AE34" s="712">
        <v>38.24</v>
      </c>
      <c r="AF34" s="721">
        <v>13959</v>
      </c>
      <c r="AH34" s="162">
        <f t="shared" si="86"/>
        <v>1.9261387784099918E-2</v>
      </c>
      <c r="AJ34" s="76">
        <f t="shared" si="87"/>
        <v>84.764504799999997</v>
      </c>
      <c r="AK34" s="76">
        <f>AK14+AK20</f>
        <v>77.861462000000003</v>
      </c>
      <c r="AL34" s="162">
        <f t="shared" si="4"/>
        <v>1.8683875927738472E-2</v>
      </c>
      <c r="AV34" s="76">
        <f>BA25+BA26</f>
        <v>188.42445788345535</v>
      </c>
      <c r="AW34" s="162">
        <f>AV34/$AV$36</f>
        <v>0.17151911815298304</v>
      </c>
      <c r="BA34" s="124">
        <f>BA12+BA17+BA16+BA20+BA22</f>
        <v>2042.3571164289019</v>
      </c>
      <c r="BB34" s="124">
        <f>BB12+BB17+BB16+BB20+BB22</f>
        <v>149842.91489352708</v>
      </c>
      <c r="BC34" s="124">
        <f>BC12+BC17+BC16+BC20+BC22</f>
        <v>0.13554672701045942</v>
      </c>
      <c r="BD34" s="124">
        <f>BD12+BD17+BD16+BD20+BD22</f>
        <v>5.1601716767938868</v>
      </c>
      <c r="BE34" s="124">
        <f>BE12+BE17+BE16+BE20+BE22</f>
        <v>151214.15569623376</v>
      </c>
      <c r="BQ34" s="50" t="str">
        <f t="shared" si="88"/>
        <v>Vörubifreiðar ≤12t</v>
      </c>
      <c r="BR34" s="112">
        <f t="shared" si="89"/>
        <v>2</v>
      </c>
      <c r="BS34" s="112">
        <f t="shared" si="89"/>
        <v>0</v>
      </c>
      <c r="BT34" s="112"/>
      <c r="BU34" s="162">
        <f t="shared" si="90"/>
        <v>3.3973161202649905E-4</v>
      </c>
      <c r="BV34" s="112"/>
      <c r="CA34" s="76">
        <f t="shared" si="84"/>
        <v>172.11524700000001</v>
      </c>
      <c r="CB34" s="162">
        <f t="shared" si="6"/>
        <v>4.0519363338679219E-2</v>
      </c>
      <c r="CU34" s="475"/>
      <c r="CX34" s="475"/>
      <c r="CZ34" s="475"/>
      <c r="DG34" s="50" t="str">
        <f t="shared" si="91"/>
        <v>Vörubifreiðar ≤12t</v>
      </c>
      <c r="DH34" s="112">
        <f t="shared" si="92"/>
        <v>3</v>
      </c>
      <c r="DI34" s="112">
        <f t="shared" si="92"/>
        <v>0</v>
      </c>
      <c r="DJ34" s="112"/>
      <c r="DK34" s="162">
        <f t="shared" si="93"/>
        <v>5.2192066805845506E-4</v>
      </c>
      <c r="DL34" s="112"/>
      <c r="DQ34" s="76">
        <f t="shared" si="85"/>
        <v>171.054135</v>
      </c>
      <c r="DR34" s="162">
        <f t="shared" si="7"/>
        <v>4.0269556401638755E-2</v>
      </c>
      <c r="EK34" s="475"/>
      <c r="EN34" s="475"/>
      <c r="EP34" s="475"/>
    </row>
    <row r="35" spans="1:146" ht="16.5" customHeight="1" thickBot="1" x14ac:dyDescent="0.8">
      <c r="A35" s="898"/>
      <c r="B35" s="590" t="s">
        <v>217</v>
      </c>
      <c r="C35" s="405">
        <v>42532</v>
      </c>
      <c r="D35" s="406">
        <v>42771</v>
      </c>
      <c r="E35" s="407">
        <v>38934</v>
      </c>
      <c r="F35" s="444">
        <v>124237</v>
      </c>
      <c r="G35" s="439">
        <v>1450748.4746862133</v>
      </c>
      <c r="H35" s="899"/>
      <c r="I35" s="421">
        <v>5.8536585365853662E-2</v>
      </c>
      <c r="J35" s="422">
        <v>5.7989130434782606E-2</v>
      </c>
      <c r="K35" s="423">
        <v>3.7686364585508558E-2</v>
      </c>
      <c r="L35" s="424">
        <v>3.7686364585508558E-2</v>
      </c>
      <c r="M35" s="591">
        <v>3.8985300732207406E-2</v>
      </c>
      <c r="O35" s="248">
        <v>2016</v>
      </c>
      <c r="AA35" s="723" t="s">
        <v>201</v>
      </c>
      <c r="AB35" s="724">
        <v>7040</v>
      </c>
      <c r="AC35" s="724">
        <v>3454</v>
      </c>
      <c r="AD35" s="725">
        <v>0.49</v>
      </c>
      <c r="AE35" s="726">
        <v>64.42</v>
      </c>
      <c r="AF35" s="727">
        <v>23513</v>
      </c>
      <c r="AH35" s="162">
        <f t="shared" si="86"/>
        <v>2.2328366540435275E-2</v>
      </c>
      <c r="AJ35" s="76">
        <f t="shared" si="87"/>
        <v>165.53363200000001</v>
      </c>
      <c r="AK35" s="76">
        <f>AK15+AK21</f>
        <v>164.75559100000001</v>
      </c>
      <c r="AL35" s="162">
        <f t="shared" si="4"/>
        <v>3.9535258413786592E-2</v>
      </c>
      <c r="AV35" s="76">
        <f>BA27+BA28</f>
        <v>388.34811102658125</v>
      </c>
      <c r="AW35" s="162">
        <f>AV35/$AV$36</f>
        <v>0.35350573003030833</v>
      </c>
      <c r="BA35" s="124">
        <f t="shared" ref="BA35:BE36" si="94">BA25</f>
        <v>9.2829197698196086</v>
      </c>
      <c r="BB35" s="124">
        <f t="shared" si="94"/>
        <v>673.13936767110556</v>
      </c>
      <c r="BC35" s="124">
        <f t="shared" si="94"/>
        <v>5.9752480776041922E-2</v>
      </c>
      <c r="BD35" s="124">
        <f t="shared" si="94"/>
        <v>1.1345499347399358E-2</v>
      </c>
      <c r="BE35" s="124">
        <f t="shared" si="94"/>
        <v>677.81899445989552</v>
      </c>
      <c r="BQ35" s="50" t="str">
        <f t="shared" si="88"/>
        <v>Vörubifreiðar &gt;12t</v>
      </c>
      <c r="BR35" s="112">
        <f t="shared" si="89"/>
        <v>29</v>
      </c>
      <c r="BS35" s="112">
        <f t="shared" si="89"/>
        <v>7</v>
      </c>
      <c r="BT35" s="112"/>
      <c r="BU35" s="162">
        <f t="shared" si="90"/>
        <v>4.1660680936647029E-3</v>
      </c>
      <c r="BV35" s="112"/>
      <c r="CA35" s="76"/>
      <c r="CB35" s="162"/>
      <c r="CU35" s="475"/>
      <c r="CX35" s="475"/>
      <c r="CZ35" s="475"/>
      <c r="DG35" s="50" t="str">
        <f t="shared" si="91"/>
        <v>Vörubifreiðar &gt;12t</v>
      </c>
      <c r="DH35" s="112">
        <f t="shared" si="92"/>
        <v>27</v>
      </c>
      <c r="DI35" s="112">
        <f t="shared" si="92"/>
        <v>7</v>
      </c>
      <c r="DJ35" s="112"/>
      <c r="DK35" s="162">
        <f t="shared" si="93"/>
        <v>4.0089086859688193E-3</v>
      </c>
      <c r="DL35" s="112"/>
      <c r="DQ35" s="76"/>
      <c r="DR35" s="162"/>
      <c r="EK35" s="475"/>
      <c r="EN35" s="475"/>
      <c r="EP35" s="475"/>
    </row>
    <row r="36" spans="1:146" ht="16.5" customHeight="1" thickBot="1" x14ac:dyDescent="0.8">
      <c r="A36" s="592" t="s">
        <v>220</v>
      </c>
      <c r="B36" s="425"/>
      <c r="C36" s="411">
        <v>40643.286940801925</v>
      </c>
      <c r="D36" s="411">
        <v>41092.764459243765</v>
      </c>
      <c r="E36" s="411">
        <v>39159.654823805431</v>
      </c>
      <c r="F36" s="412">
        <v>120895.70622385111</v>
      </c>
      <c r="G36" s="412"/>
      <c r="H36" s="900"/>
      <c r="I36" s="426">
        <v>3.8034271765940542E-2</v>
      </c>
      <c r="J36" s="426">
        <v>3.4128618819366574E-2</v>
      </c>
      <c r="K36" s="427">
        <v>4.5129755541558403E-2</v>
      </c>
      <c r="L36" s="428"/>
      <c r="M36" s="427">
        <v>3.8985300732207406E-2</v>
      </c>
      <c r="O36" s="248">
        <v>2017</v>
      </c>
      <c r="AJ36" s="76">
        <f>SUM(AJ30:AJ35)</f>
        <v>4154.1574691000005</v>
      </c>
      <c r="AK36" s="76">
        <f>SUM(AK30:AK35)</f>
        <v>4167.3078059999989</v>
      </c>
      <c r="AV36" s="76">
        <f>SUM(AV33:AV35)</f>
        <v>1098.5624221516457</v>
      </c>
      <c r="BA36" s="124">
        <f t="shared" si="94"/>
        <v>179.14153811363573</v>
      </c>
      <c r="BB36" s="124">
        <f t="shared" si="94"/>
        <v>13143.177796905004</v>
      </c>
      <c r="BC36" s="124">
        <f t="shared" si="94"/>
        <v>6.6098741764291785E-2</v>
      </c>
      <c r="BD36" s="124">
        <f t="shared" si="94"/>
        <v>0.37520282399868876</v>
      </c>
      <c r="BE36" s="124">
        <f t="shared" si="94"/>
        <v>13244.457310034057</v>
      </c>
      <c r="BR36" s="112"/>
      <c r="BS36" s="112"/>
      <c r="BT36" s="112"/>
      <c r="BU36" s="112"/>
      <c r="BV36" s="112"/>
      <c r="CA36" s="76">
        <f>SUM(CA29:CA34)</f>
        <v>4247.7283159999997</v>
      </c>
      <c r="CU36" s="475"/>
      <c r="CX36" s="475"/>
      <c r="CZ36" s="475"/>
      <c r="DH36" s="112"/>
      <c r="DI36" s="112"/>
      <c r="DJ36" s="112"/>
      <c r="DK36" s="112"/>
      <c r="DL36" s="112"/>
      <c r="DQ36" s="76">
        <f>SUM(DQ29:DQ34)</f>
        <v>4201.3043930000003</v>
      </c>
      <c r="EK36" s="475"/>
      <c r="EN36" s="475"/>
      <c r="EP36" s="475"/>
    </row>
    <row r="37" spans="1:146" ht="16.5" customHeight="1" x14ac:dyDescent="0.65">
      <c r="A37" s="883">
        <v>2007</v>
      </c>
      <c r="B37" s="593" t="s">
        <v>191</v>
      </c>
      <c r="C37" s="389">
        <v>40666</v>
      </c>
      <c r="D37" s="390">
        <v>39409</v>
      </c>
      <c r="E37" s="391">
        <v>37899</v>
      </c>
      <c r="F37" s="392">
        <v>117974</v>
      </c>
      <c r="G37" s="438">
        <v>117974</v>
      </c>
      <c r="H37" s="885" t="s">
        <v>224</v>
      </c>
      <c r="I37" s="415">
        <v>7.0467766985179925E-2</v>
      </c>
      <c r="J37" s="585">
        <v>9.2757049766449454E-2</v>
      </c>
      <c r="K37" s="586">
        <v>6.1795730280447936E-2</v>
      </c>
      <c r="L37" s="416">
        <v>6.1795730280447936E-2</v>
      </c>
      <c r="M37" s="587">
        <v>6.1795730280447936E-2</v>
      </c>
      <c r="O37" s="248">
        <v>2018</v>
      </c>
      <c r="AB37" s="112">
        <f>SUM(AB30:AB35)</f>
        <v>315294</v>
      </c>
      <c r="BA37" s="124">
        <f t="shared" ref="BA37:BE38" si="95">BA27+BA23</f>
        <v>9.4051276791991825</v>
      </c>
      <c r="BB37" s="124">
        <f t="shared" si="95"/>
        <v>681.98537265224854</v>
      </c>
      <c r="BC37" s="124">
        <f t="shared" si="95"/>
        <v>0.14879523456502652</v>
      </c>
      <c r="BD37" s="124">
        <f t="shared" si="95"/>
        <v>7.9713406223627381E-3</v>
      </c>
      <c r="BE37" s="124">
        <f t="shared" si="95"/>
        <v>688.26404448499534</v>
      </c>
      <c r="BQ37" s="247" t="s">
        <v>225</v>
      </c>
      <c r="BR37" s="112"/>
      <c r="BS37" s="112"/>
      <c r="BT37" s="112"/>
      <c r="BU37" s="112"/>
      <c r="BV37" s="112"/>
      <c r="CA37" s="76">
        <f>SUM(CA9:CA23)</f>
        <v>4240.272234</v>
      </c>
      <c r="CK37" s="189"/>
      <c r="CM37" s="189"/>
      <c r="DG37" s="247" t="s">
        <v>225</v>
      </c>
      <c r="DH37" s="112"/>
      <c r="DI37" s="112"/>
      <c r="DJ37" s="112"/>
      <c r="DK37" s="112"/>
      <c r="DL37" s="112"/>
      <c r="DQ37" s="76">
        <f>SUM(DQ9:DQ23)</f>
        <v>4194.4306510000006</v>
      </c>
      <c r="EA37" s="189"/>
      <c r="EC37" s="189"/>
    </row>
    <row r="38" spans="1:146" ht="16.5" customHeight="1" x14ac:dyDescent="0.65">
      <c r="A38" s="883"/>
      <c r="B38" s="594" t="s">
        <v>195</v>
      </c>
      <c r="C38" s="397">
        <v>42636</v>
      </c>
      <c r="D38" s="398">
        <v>41580</v>
      </c>
      <c r="E38" s="399">
        <v>40896</v>
      </c>
      <c r="F38" s="400">
        <v>125112</v>
      </c>
      <c r="G38" s="439">
        <v>243086</v>
      </c>
      <c r="H38" s="886"/>
      <c r="I38" s="417">
        <v>4.2266604737575479E-2</v>
      </c>
      <c r="J38" s="418">
        <v>9.0530919175488653E-2</v>
      </c>
      <c r="K38" s="419">
        <v>5.0663845010455288E-2</v>
      </c>
      <c r="L38" s="420">
        <v>5.0663845010455288E-2</v>
      </c>
      <c r="M38" s="588">
        <v>5.6037048139121692E-2</v>
      </c>
      <c r="O38" s="248">
        <v>2019</v>
      </c>
      <c r="BA38" s="124">
        <f t="shared" si="95"/>
        <v>543.595114576382</v>
      </c>
      <c r="BB38" s="124">
        <f t="shared" si="95"/>
        <v>39882.203663655528</v>
      </c>
      <c r="BC38" s="124">
        <f t="shared" si="95"/>
        <v>1.1293158861106989</v>
      </c>
      <c r="BD38" s="124">
        <f t="shared" si="95"/>
        <v>1.2827249770598881</v>
      </c>
      <c r="BE38" s="124">
        <f t="shared" si="95"/>
        <v>40253.746627387496</v>
      </c>
      <c r="BR38" s="112"/>
      <c r="BS38" s="112"/>
      <c r="BT38" s="112"/>
      <c r="BU38" s="112"/>
      <c r="BV38" s="112"/>
      <c r="DH38" s="76"/>
    </row>
    <row r="39" spans="1:146" ht="16.5" customHeight="1" x14ac:dyDescent="0.65">
      <c r="A39" s="883"/>
      <c r="B39" s="594" t="s">
        <v>15</v>
      </c>
      <c r="C39" s="397">
        <v>44711</v>
      </c>
      <c r="D39" s="398">
        <v>43720</v>
      </c>
      <c r="E39" s="399">
        <v>42527</v>
      </c>
      <c r="F39" s="400">
        <v>130958</v>
      </c>
      <c r="G39" s="439">
        <v>374044</v>
      </c>
      <c r="H39" s="886"/>
      <c r="I39" s="417">
        <v>5.0787309048178617E-2</v>
      </c>
      <c r="J39" s="418">
        <v>8.8008800880088014E-2</v>
      </c>
      <c r="K39" s="419">
        <v>6.0551825786963276E-2</v>
      </c>
      <c r="L39" s="420">
        <v>6.0551825786963276E-2</v>
      </c>
      <c r="M39" s="588">
        <v>5.7613354897813718E-2</v>
      </c>
      <c r="O39" s="248">
        <v>2020</v>
      </c>
    </row>
    <row r="40" spans="1:146" ht="16.5" customHeight="1" x14ac:dyDescent="0.65">
      <c r="A40" s="883"/>
      <c r="B40" s="594" t="s">
        <v>16</v>
      </c>
      <c r="C40" s="397">
        <v>41126</v>
      </c>
      <c r="D40" s="398">
        <v>42156</v>
      </c>
      <c r="E40" s="399">
        <v>42383</v>
      </c>
      <c r="F40" s="400">
        <v>125665</v>
      </c>
      <c r="G40" s="439">
        <v>499709</v>
      </c>
      <c r="H40" s="886"/>
      <c r="I40" s="417">
        <v>7.1352280720035424E-2</v>
      </c>
      <c r="J40" s="418">
        <v>0.1281375602225239</v>
      </c>
      <c r="K40" s="419">
        <v>8.7773209262064444E-2</v>
      </c>
      <c r="L40" s="420">
        <v>8.7773209262064444E-2</v>
      </c>
      <c r="M40" s="588">
        <v>6.5039333493892793E-2</v>
      </c>
    </row>
    <row r="41" spans="1:146" ht="16.5" customHeight="1" x14ac:dyDescent="0.65">
      <c r="A41" s="883"/>
      <c r="B41" s="594" t="s">
        <v>17</v>
      </c>
      <c r="C41" s="397">
        <v>43780</v>
      </c>
      <c r="D41" s="398">
        <v>44517</v>
      </c>
      <c r="E41" s="399">
        <v>45850</v>
      </c>
      <c r="F41" s="400">
        <v>134147</v>
      </c>
      <c r="G41" s="439">
        <v>633856</v>
      </c>
      <c r="H41" s="886"/>
      <c r="I41" s="417">
        <v>4.1785646297353894E-2</v>
      </c>
      <c r="J41" s="418">
        <v>0.12413268933728884</v>
      </c>
      <c r="K41" s="419">
        <v>7.0401519262072609E-2</v>
      </c>
      <c r="L41" s="420">
        <v>7.0401519262072609E-2</v>
      </c>
      <c r="M41" s="588">
        <v>6.6169680597863545E-2</v>
      </c>
    </row>
    <row r="42" spans="1:146" ht="16.5" customHeight="1" x14ac:dyDescent="0.65">
      <c r="A42" s="883"/>
      <c r="B42" s="594" t="s">
        <v>18</v>
      </c>
      <c r="C42" s="397">
        <v>42691</v>
      </c>
      <c r="D42" s="398">
        <v>44919</v>
      </c>
      <c r="E42" s="399">
        <v>47313</v>
      </c>
      <c r="F42" s="400">
        <v>134923</v>
      </c>
      <c r="G42" s="439">
        <v>768779</v>
      </c>
      <c r="H42" s="886"/>
      <c r="I42" s="417">
        <v>8.3225495420060386E-2</v>
      </c>
      <c r="J42" s="418">
        <v>0.16068493486740426</v>
      </c>
      <c r="K42" s="419">
        <v>0.10868886405469369</v>
      </c>
      <c r="L42" s="420">
        <v>0.10868886405469369</v>
      </c>
      <c r="M42" s="588">
        <v>7.3394367318102338E-2</v>
      </c>
    </row>
    <row r="43" spans="1:146" ht="16.5" customHeight="1" x14ac:dyDescent="0.65">
      <c r="A43" s="883"/>
      <c r="B43" s="594" t="s">
        <v>19</v>
      </c>
      <c r="C43" s="397">
        <v>39540</v>
      </c>
      <c r="D43" s="398">
        <v>44232.379760577489</v>
      </c>
      <c r="E43" s="399">
        <v>46367</v>
      </c>
      <c r="F43" s="400">
        <v>130139.37976057749</v>
      </c>
      <c r="G43" s="439">
        <v>898918.37976057746</v>
      </c>
      <c r="H43" s="886"/>
      <c r="I43" s="417">
        <v>0.10480874011567801</v>
      </c>
      <c r="J43" s="418">
        <v>0.16024822961239146</v>
      </c>
      <c r="K43" s="419">
        <v>0.1269918143371076</v>
      </c>
      <c r="L43" s="420">
        <v>0.1269918143371076</v>
      </c>
      <c r="M43" s="588">
        <v>8.083605842645003E-2</v>
      </c>
    </row>
    <row r="44" spans="1:146" ht="16.5" customHeight="1" x14ac:dyDescent="0.65">
      <c r="A44" s="883"/>
      <c r="B44" s="594" t="s">
        <v>20</v>
      </c>
      <c r="C44" s="397">
        <v>43072</v>
      </c>
      <c r="D44" s="398">
        <v>45828</v>
      </c>
      <c r="E44" s="399">
        <v>46593</v>
      </c>
      <c r="F44" s="400">
        <v>135493</v>
      </c>
      <c r="G44" s="439">
        <v>1034411.3797605775</v>
      </c>
      <c r="H44" s="886"/>
      <c r="I44" s="417">
        <v>0.10807542898304649</v>
      </c>
      <c r="J44" s="418">
        <v>0.1508706928492034</v>
      </c>
      <c r="K44" s="419">
        <v>0.13237170108093732</v>
      </c>
      <c r="L44" s="420">
        <v>0.13237170108093732</v>
      </c>
      <c r="M44" s="588">
        <v>8.7317905757384517E-2</v>
      </c>
    </row>
    <row r="45" spans="1:146" ht="16.5" customHeight="1" x14ac:dyDescent="0.65">
      <c r="A45" s="883"/>
      <c r="B45" s="594" t="s">
        <v>211</v>
      </c>
      <c r="C45" s="397">
        <v>44536</v>
      </c>
      <c r="D45" s="398">
        <v>46730</v>
      </c>
      <c r="E45" s="399">
        <v>46157</v>
      </c>
      <c r="F45" s="400">
        <v>137423</v>
      </c>
      <c r="G45" s="439">
        <v>1171834.3797605773</v>
      </c>
      <c r="H45" s="886"/>
      <c r="I45" s="417">
        <v>4.2941322794365501E-2</v>
      </c>
      <c r="J45" s="418">
        <v>0.12224950764667267</v>
      </c>
      <c r="K45" s="419">
        <v>9.5245667049713489E-2</v>
      </c>
      <c r="L45" s="420">
        <v>9.5245667049713489E-2</v>
      </c>
      <c r="M45" s="588">
        <v>8.8241662368212515E-2</v>
      </c>
    </row>
    <row r="46" spans="1:146" ht="16.5" customHeight="1" x14ac:dyDescent="0.65">
      <c r="A46" s="883"/>
      <c r="B46" s="594" t="s">
        <v>213</v>
      </c>
      <c r="C46" s="397">
        <v>45561</v>
      </c>
      <c r="D46" s="398">
        <v>47695</v>
      </c>
      <c r="E46" s="399">
        <v>46533</v>
      </c>
      <c r="F46" s="400">
        <v>139789</v>
      </c>
      <c r="G46" s="439">
        <v>1311623.3797605773</v>
      </c>
      <c r="H46" s="886"/>
      <c r="I46" s="417">
        <v>5.1169881714945263E-2</v>
      </c>
      <c r="J46" s="418">
        <v>0.15561129460848835</v>
      </c>
      <c r="K46" s="419">
        <v>0.10973475517648246</v>
      </c>
      <c r="L46" s="420">
        <v>0.10973475517648246</v>
      </c>
      <c r="M46" s="588">
        <v>9.0492614729322796E-2</v>
      </c>
    </row>
    <row r="47" spans="1:146" ht="16.5" customHeight="1" x14ac:dyDescent="0.65">
      <c r="A47" s="883"/>
      <c r="B47" s="589" t="s">
        <v>216</v>
      </c>
      <c r="C47" s="397">
        <v>45586</v>
      </c>
      <c r="D47" s="398">
        <v>48466</v>
      </c>
      <c r="E47" s="399">
        <v>45560</v>
      </c>
      <c r="F47" s="400">
        <v>139612</v>
      </c>
      <c r="G47" s="439">
        <v>1451235.3797605773</v>
      </c>
      <c r="H47" s="886"/>
      <c r="I47" s="417">
        <v>5.4889619104919699E-2</v>
      </c>
      <c r="J47" s="418">
        <v>0.17577659022705036</v>
      </c>
      <c r="K47" s="419">
        <v>0.12835231554775062</v>
      </c>
      <c r="L47" s="420">
        <v>0.12835231554775062</v>
      </c>
      <c r="M47" s="588">
        <v>9.4023992595968719E-2</v>
      </c>
    </row>
    <row r="48" spans="1:146" ht="16.5" customHeight="1" thickBot="1" x14ac:dyDescent="0.8">
      <c r="A48" s="896"/>
      <c r="B48" s="595" t="s">
        <v>217</v>
      </c>
      <c r="C48" s="405">
        <v>41950</v>
      </c>
      <c r="D48" s="406">
        <v>46794</v>
      </c>
      <c r="E48" s="407">
        <v>42143</v>
      </c>
      <c r="F48" s="444">
        <v>130887</v>
      </c>
      <c r="G48" s="439">
        <v>1582122.3797605773</v>
      </c>
      <c r="H48" s="886"/>
      <c r="I48" s="596">
        <v>-1.3683814539640741E-2</v>
      </c>
      <c r="J48" s="597">
        <v>8.2421533877844552E-2</v>
      </c>
      <c r="K48" s="598">
        <v>5.3526727142477748E-2</v>
      </c>
      <c r="L48" s="424">
        <v>5.3526727142477748E-2</v>
      </c>
      <c r="M48" s="599">
        <v>9.0555949130175284E-2</v>
      </c>
    </row>
    <row r="49" spans="1:13" ht="16.5" customHeight="1" thickBot="1" x14ac:dyDescent="0.75">
      <c r="A49" s="592" t="s">
        <v>220</v>
      </c>
      <c r="B49" s="425"/>
      <c r="C49" s="411">
        <v>42987.916666666664</v>
      </c>
      <c r="D49" s="411">
        <v>44670.531646714786</v>
      </c>
      <c r="E49" s="411">
        <v>44185.083333333336</v>
      </c>
      <c r="F49" s="412">
        <v>131843.53164671478</v>
      </c>
      <c r="G49" s="412"/>
      <c r="H49" s="887"/>
      <c r="I49" s="426">
        <v>5.768799480415443E-2</v>
      </c>
      <c r="J49" s="426">
        <v>8.7065624193268576E-2</v>
      </c>
      <c r="K49" s="427">
        <v>0.1283317877069976</v>
      </c>
      <c r="L49" s="428"/>
      <c r="M49" s="427">
        <v>9.0555949130175284E-2</v>
      </c>
    </row>
    <row r="50" spans="1:13" ht="14.25" x14ac:dyDescent="0.65">
      <c r="A50" s="897">
        <v>2008</v>
      </c>
      <c r="B50" s="388" t="s">
        <v>191</v>
      </c>
      <c r="C50" s="389">
        <v>42079</v>
      </c>
      <c r="D50" s="390">
        <v>43928</v>
      </c>
      <c r="E50" s="391">
        <v>41438</v>
      </c>
      <c r="F50" s="392">
        <v>127445</v>
      </c>
      <c r="G50" s="438">
        <v>127445</v>
      </c>
      <c r="H50" s="885" t="s">
        <v>226</v>
      </c>
      <c r="I50" s="415">
        <v>3.4746471253627106E-2</v>
      </c>
      <c r="J50" s="585">
        <v>9.337977255336552E-2</v>
      </c>
      <c r="K50" s="586">
        <v>8.0280400766270521E-2</v>
      </c>
      <c r="L50" s="416">
        <v>8.0280400766270521E-2</v>
      </c>
      <c r="M50" s="587">
        <v>8.0280400766270521E-2</v>
      </c>
    </row>
    <row r="51" spans="1:13" ht="14.25" x14ac:dyDescent="0.65">
      <c r="A51" s="883"/>
      <c r="B51" s="396" t="s">
        <v>195</v>
      </c>
      <c r="C51" s="397">
        <v>42211</v>
      </c>
      <c r="D51" s="398">
        <v>45714</v>
      </c>
      <c r="E51" s="399">
        <v>43597</v>
      </c>
      <c r="F51" s="400">
        <v>131522</v>
      </c>
      <c r="G51" s="439">
        <v>258967</v>
      </c>
      <c r="H51" s="886"/>
      <c r="I51" s="417">
        <v>-9.9681020733652318E-3</v>
      </c>
      <c r="J51" s="418">
        <v>6.6045579029733958E-2</v>
      </c>
      <c r="K51" s="419">
        <v>5.1234094251550566E-2</v>
      </c>
      <c r="L51" s="420">
        <v>5.1234094251550566E-2</v>
      </c>
      <c r="M51" s="588">
        <v>6.5330788280690832E-2</v>
      </c>
    </row>
    <row r="52" spans="1:13" ht="14.25" x14ac:dyDescent="0.65">
      <c r="A52" s="883"/>
      <c r="B52" s="396" t="s">
        <v>15</v>
      </c>
      <c r="C52" s="397">
        <v>42884.551201761278</v>
      </c>
      <c r="D52" s="398">
        <v>44927</v>
      </c>
      <c r="E52" s="399">
        <v>43751</v>
      </c>
      <c r="F52" s="400">
        <v>131562.55120176129</v>
      </c>
      <c r="G52" s="439">
        <v>390529.55120176129</v>
      </c>
      <c r="H52" s="886"/>
      <c r="I52" s="417">
        <v>-4.0850099488687834E-2</v>
      </c>
      <c r="J52" s="418">
        <v>2.8781715145672161E-2</v>
      </c>
      <c r="K52" s="419">
        <v>4.6163747290068891E-3</v>
      </c>
      <c r="L52" s="420">
        <v>4.6163747290068891E-3</v>
      </c>
      <c r="M52" s="588">
        <v>4.4073828752128952E-2</v>
      </c>
    </row>
    <row r="53" spans="1:13" ht="14.25" x14ac:dyDescent="0.65">
      <c r="A53" s="883"/>
      <c r="B53" s="396" t="s">
        <v>16</v>
      </c>
      <c r="C53" s="397">
        <v>45303</v>
      </c>
      <c r="D53" s="398">
        <v>48229</v>
      </c>
      <c r="E53" s="399">
        <v>47282</v>
      </c>
      <c r="F53" s="400">
        <v>140814</v>
      </c>
      <c r="G53" s="439">
        <v>531343.55120176123</v>
      </c>
      <c r="H53" s="886"/>
      <c r="I53" s="417">
        <v>0.10156591936974177</v>
      </c>
      <c r="J53" s="418">
        <v>0.11558879739518203</v>
      </c>
      <c r="K53" s="419">
        <v>0.12055067043329482</v>
      </c>
      <c r="L53" s="420">
        <v>0.12055067043329482</v>
      </c>
      <c r="M53" s="588">
        <v>6.3305946464364826E-2</v>
      </c>
    </row>
    <row r="54" spans="1:13" ht="14.25" x14ac:dyDescent="0.65">
      <c r="A54" s="883"/>
      <c r="B54" s="396" t="s">
        <v>17</v>
      </c>
      <c r="C54" s="397">
        <v>43400</v>
      </c>
      <c r="D54" s="398">
        <v>48148.221902515186</v>
      </c>
      <c r="E54" s="399">
        <v>47334</v>
      </c>
      <c r="F54" s="400">
        <v>138882.22190251519</v>
      </c>
      <c r="G54" s="439">
        <v>670225.77310427639</v>
      </c>
      <c r="H54" s="886"/>
      <c r="I54" s="417">
        <v>-8.6797624486066698E-3</v>
      </c>
      <c r="J54" s="418">
        <v>3.236641221374046E-2</v>
      </c>
      <c r="K54" s="419">
        <v>3.5298753624868118E-2</v>
      </c>
      <c r="L54" s="420">
        <v>3.5298753624868118E-2</v>
      </c>
      <c r="M54" s="588">
        <v>5.7378605084240641E-2</v>
      </c>
    </row>
    <row r="55" spans="1:13" ht="14.25" x14ac:dyDescent="0.65">
      <c r="A55" s="883"/>
      <c r="B55" s="396" t="s">
        <v>18</v>
      </c>
      <c r="C55" s="397">
        <v>40402</v>
      </c>
      <c r="D55" s="398">
        <v>45572.666795350764</v>
      </c>
      <c r="E55" s="399">
        <v>47040</v>
      </c>
      <c r="F55" s="400">
        <v>133014.66679535076</v>
      </c>
      <c r="G55" s="439">
        <v>803240.43989962712</v>
      </c>
      <c r="H55" s="886"/>
      <c r="I55" s="417">
        <v>-5.3617858565037126E-2</v>
      </c>
      <c r="J55" s="418">
        <v>-5.770084332001775E-3</v>
      </c>
      <c r="K55" s="419">
        <v>-1.4143868759583178E-2</v>
      </c>
      <c r="L55" s="420">
        <v>-1.4143868759583178E-2</v>
      </c>
      <c r="M55" s="588">
        <v>4.4826198295774278E-2</v>
      </c>
    </row>
    <row r="56" spans="1:13" ht="14.25" x14ac:dyDescent="0.65">
      <c r="A56" s="883"/>
      <c r="B56" s="396" t="s">
        <v>19</v>
      </c>
      <c r="C56" s="397">
        <v>37788</v>
      </c>
      <c r="D56" s="398">
        <v>45431</v>
      </c>
      <c r="E56" s="399">
        <v>46196.383537711605</v>
      </c>
      <c r="F56" s="400">
        <v>129415.3835377116</v>
      </c>
      <c r="G56" s="439">
        <v>932655.82343733869</v>
      </c>
      <c r="H56" s="886"/>
      <c r="I56" s="417">
        <v>-4.4309559939301975E-2</v>
      </c>
      <c r="J56" s="418">
        <v>-3.6796959537687421E-3</v>
      </c>
      <c r="K56" s="419">
        <v>-5.5632370785679841E-3</v>
      </c>
      <c r="L56" s="420">
        <v>-5.5632370785679841E-3</v>
      </c>
      <c r="M56" s="588">
        <v>3.7531153479971158E-2</v>
      </c>
    </row>
    <row r="57" spans="1:13" ht="14.25" x14ac:dyDescent="0.65">
      <c r="A57" s="883"/>
      <c r="B57" s="396" t="s">
        <v>20</v>
      </c>
      <c r="C57" s="397">
        <v>39855</v>
      </c>
      <c r="D57" s="398">
        <v>45009.046086335104</v>
      </c>
      <c r="E57" s="399">
        <v>46690</v>
      </c>
      <c r="F57" s="400">
        <v>131554.04608633509</v>
      </c>
      <c r="G57" s="439">
        <v>1064209.8695236738</v>
      </c>
      <c r="H57" s="886"/>
      <c r="I57" s="417">
        <v>-7.4688893016344723E-2</v>
      </c>
      <c r="J57" s="418">
        <v>2.0818577897967505E-3</v>
      </c>
      <c r="K57" s="419">
        <v>-2.907127241750429E-2</v>
      </c>
      <c r="L57" s="420">
        <v>-2.907127241750429E-2</v>
      </c>
      <c r="M57" s="588">
        <v>2.8807194454872898E-2</v>
      </c>
    </row>
    <row r="58" spans="1:13" ht="14.25" x14ac:dyDescent="0.65">
      <c r="A58" s="883"/>
      <c r="B58" s="396" t="s">
        <v>211</v>
      </c>
      <c r="C58" s="397">
        <v>44393</v>
      </c>
      <c r="D58" s="398">
        <v>46983</v>
      </c>
      <c r="E58" s="399">
        <v>47628</v>
      </c>
      <c r="F58" s="400">
        <v>139004</v>
      </c>
      <c r="G58" s="439">
        <v>1203213.8695236738</v>
      </c>
      <c r="H58" s="886"/>
      <c r="I58" s="417">
        <v>-3.2108855757140291E-3</v>
      </c>
      <c r="J58" s="418">
        <v>3.1869488918257249E-2</v>
      </c>
      <c r="K58" s="419">
        <v>1.1504624407850272E-2</v>
      </c>
      <c r="L58" s="420">
        <v>1.1504624407850272E-2</v>
      </c>
      <c r="M58" s="588">
        <v>2.6778092796277075E-2</v>
      </c>
    </row>
    <row r="59" spans="1:13" ht="14.25" x14ac:dyDescent="0.65">
      <c r="A59" s="883"/>
      <c r="B59" s="396" t="s">
        <v>213</v>
      </c>
      <c r="C59" s="397">
        <v>43645</v>
      </c>
      <c r="D59" s="398">
        <v>44328</v>
      </c>
      <c r="E59" s="399">
        <v>46087</v>
      </c>
      <c r="F59" s="400">
        <v>134060</v>
      </c>
      <c r="G59" s="439">
        <v>1337273.8695236738</v>
      </c>
      <c r="H59" s="886"/>
      <c r="I59" s="417">
        <v>-4.2053510677992144E-2</v>
      </c>
      <c r="J59" s="418">
        <v>-9.5845958781939702E-3</v>
      </c>
      <c r="K59" s="419">
        <v>-4.0983196102697628E-2</v>
      </c>
      <c r="L59" s="420">
        <v>-4.0983196102697628E-2</v>
      </c>
      <c r="M59" s="588">
        <v>1.9556291965288519E-2</v>
      </c>
    </row>
    <row r="60" spans="1:13" ht="14.25" x14ac:dyDescent="0.65">
      <c r="A60" s="883"/>
      <c r="B60" s="396" t="s">
        <v>216</v>
      </c>
      <c r="C60" s="397">
        <v>42610</v>
      </c>
      <c r="D60" s="398">
        <v>43068</v>
      </c>
      <c r="E60" s="399">
        <v>44500</v>
      </c>
      <c r="F60" s="400">
        <v>130178</v>
      </c>
      <c r="G60" s="439">
        <v>1467451.8695236738</v>
      </c>
      <c r="H60" s="886"/>
      <c r="I60" s="417">
        <v>-6.5283200982757861E-2</v>
      </c>
      <c r="J60" s="418">
        <v>-2.3266022827041263E-2</v>
      </c>
      <c r="K60" s="419">
        <v>-6.7572987995301315E-2</v>
      </c>
      <c r="L60" s="420">
        <v>-6.7572987995301315E-2</v>
      </c>
      <c r="M60" s="588">
        <v>1.1174265725089949E-2</v>
      </c>
    </row>
    <row r="61" spans="1:13" ht="15" thickBot="1" x14ac:dyDescent="0.8">
      <c r="A61" s="884"/>
      <c r="B61" s="600" t="s">
        <v>217</v>
      </c>
      <c r="C61" s="405">
        <v>41091</v>
      </c>
      <c r="D61" s="406">
        <v>44677</v>
      </c>
      <c r="E61" s="407">
        <v>42705</v>
      </c>
      <c r="F61" s="444">
        <v>128473</v>
      </c>
      <c r="G61" s="439">
        <v>1595924.8695236738</v>
      </c>
      <c r="H61" s="886"/>
      <c r="I61" s="421">
        <v>-2.0476758045292014E-2</v>
      </c>
      <c r="J61" s="422">
        <v>1.3335548015091474E-2</v>
      </c>
      <c r="K61" s="423">
        <v>-1.8443390099857182E-2</v>
      </c>
      <c r="L61" s="424">
        <v>-1.8443390099857182E-2</v>
      </c>
      <c r="M61" s="591">
        <v>8.7240342085199707E-3</v>
      </c>
    </row>
    <row r="62" spans="1:13" ht="15" thickBot="1" x14ac:dyDescent="0.75">
      <c r="A62" s="592" t="s">
        <v>220</v>
      </c>
      <c r="B62" s="425"/>
      <c r="C62" s="411">
        <v>42138.462600146777</v>
      </c>
      <c r="D62" s="411">
        <v>45501.244565350084</v>
      </c>
      <c r="E62" s="411">
        <v>45354.031961475965</v>
      </c>
      <c r="F62" s="412">
        <v>132993.73912697283</v>
      </c>
      <c r="G62" s="412"/>
      <c r="H62" s="887"/>
      <c r="I62" s="426">
        <v>-1.9760298530088205E-2</v>
      </c>
      <c r="J62" s="426">
        <v>1.8596441278226683E-2</v>
      </c>
      <c r="K62" s="427">
        <v>2.6455729851725174E-2</v>
      </c>
      <c r="L62" s="428"/>
      <c r="M62" s="427">
        <v>8.7240342085199707E-3</v>
      </c>
    </row>
    <row r="63" spans="1:13" ht="14.25" x14ac:dyDescent="0.65">
      <c r="A63" s="897">
        <v>2009</v>
      </c>
      <c r="B63" s="601" t="s">
        <v>191</v>
      </c>
      <c r="C63" s="389">
        <v>40051</v>
      </c>
      <c r="D63" s="390">
        <v>41955</v>
      </c>
      <c r="E63" s="391">
        <v>42020</v>
      </c>
      <c r="F63" s="392">
        <v>124026</v>
      </c>
      <c r="G63" s="438">
        <v>124026</v>
      </c>
      <c r="H63" s="885" t="s">
        <v>227</v>
      </c>
      <c r="I63" s="602">
        <v>-4.8195061669716488E-2</v>
      </c>
      <c r="J63" s="603">
        <v>1.4045079395723732E-2</v>
      </c>
      <c r="K63" s="604">
        <v>-2.682725881752912E-2</v>
      </c>
      <c r="L63" s="416">
        <v>-2.682725881752912E-2</v>
      </c>
      <c r="M63" s="605">
        <v>-2.682725881752912E-2</v>
      </c>
    </row>
    <row r="64" spans="1:13" ht="14.25" x14ac:dyDescent="0.65">
      <c r="A64" s="883"/>
      <c r="B64" s="606" t="s">
        <v>195</v>
      </c>
      <c r="C64" s="397">
        <v>41468</v>
      </c>
      <c r="D64" s="398">
        <v>43176</v>
      </c>
      <c r="E64" s="399">
        <v>43833</v>
      </c>
      <c r="F64" s="400">
        <v>128477</v>
      </c>
      <c r="G64" s="439">
        <v>252503</v>
      </c>
      <c r="H64" s="886"/>
      <c r="I64" s="417">
        <v>-1.7602046859823268E-2</v>
      </c>
      <c r="J64" s="418">
        <v>5.4132165057228709E-3</v>
      </c>
      <c r="K64" s="419">
        <v>-2.315202019434015E-2</v>
      </c>
      <c r="L64" s="420">
        <v>-2.315202019434015E-2</v>
      </c>
      <c r="M64" s="588">
        <v>-2.4960709279560733E-2</v>
      </c>
    </row>
    <row r="65" spans="1:13" ht="14.25" x14ac:dyDescent="0.65">
      <c r="A65" s="883"/>
      <c r="B65" s="606" t="s">
        <v>15</v>
      </c>
      <c r="C65" s="397">
        <v>42649</v>
      </c>
      <c r="D65" s="398">
        <v>43974</v>
      </c>
      <c r="E65" s="399">
        <v>45207</v>
      </c>
      <c r="F65" s="400">
        <v>131830</v>
      </c>
      <c r="G65" s="439">
        <v>384333</v>
      </c>
      <c r="H65" s="886"/>
      <c r="I65" s="417">
        <v>-5.4926819836138121E-3</v>
      </c>
      <c r="J65" s="418">
        <v>3.3279239331672421E-2</v>
      </c>
      <c r="K65" s="419">
        <v>2.0328641835818395E-3</v>
      </c>
      <c r="L65" s="420">
        <v>2.0328641835818395E-3</v>
      </c>
      <c r="M65" s="588">
        <v>-1.5867048172648834E-2</v>
      </c>
    </row>
    <row r="66" spans="1:13" ht="14.25" x14ac:dyDescent="0.65">
      <c r="A66" s="883"/>
      <c r="B66" s="606" t="s">
        <v>16</v>
      </c>
      <c r="C66" s="397">
        <v>40139</v>
      </c>
      <c r="D66" s="398">
        <v>43031</v>
      </c>
      <c r="E66" s="399">
        <v>44800</v>
      </c>
      <c r="F66" s="400">
        <v>127970</v>
      </c>
      <c r="G66" s="439">
        <v>512303</v>
      </c>
      <c r="H66" s="886"/>
      <c r="I66" s="417">
        <v>-0.11398803611239874</v>
      </c>
      <c r="J66" s="418">
        <v>-5.2493549342244407E-2</v>
      </c>
      <c r="K66" s="419">
        <v>-9.1212521482239017E-2</v>
      </c>
      <c r="L66" s="420">
        <v>-9.1212521482239017E-2</v>
      </c>
      <c r="M66" s="588">
        <v>-3.5834727190527604E-2</v>
      </c>
    </row>
    <row r="67" spans="1:13" ht="14.25" x14ac:dyDescent="0.65">
      <c r="A67" s="883"/>
      <c r="B67" s="606" t="s">
        <v>17</v>
      </c>
      <c r="C67" s="397">
        <v>41143</v>
      </c>
      <c r="D67" s="398">
        <v>45166</v>
      </c>
      <c r="E67" s="399">
        <v>46849</v>
      </c>
      <c r="F67" s="400">
        <v>133158</v>
      </c>
      <c r="G67" s="439">
        <v>645461</v>
      </c>
      <c r="H67" s="886"/>
      <c r="I67" s="417">
        <v>-5.2004608294930872E-2</v>
      </c>
      <c r="J67" s="418">
        <v>-1.0246334558668187E-2</v>
      </c>
      <c r="K67" s="419">
        <v>-4.1216376179041503E-2</v>
      </c>
      <c r="L67" s="420">
        <v>-4.1216376179041503E-2</v>
      </c>
      <c r="M67" s="588">
        <v>-3.69498967334152E-2</v>
      </c>
    </row>
    <row r="68" spans="1:13" ht="14.25" x14ac:dyDescent="0.65">
      <c r="A68" s="883"/>
      <c r="B68" s="606" t="s">
        <v>18</v>
      </c>
      <c r="C68" s="397">
        <v>39338</v>
      </c>
      <c r="D68" s="398">
        <v>45356</v>
      </c>
      <c r="E68" s="399">
        <v>47542</v>
      </c>
      <c r="F68" s="400">
        <v>132236</v>
      </c>
      <c r="G68" s="439">
        <v>777697</v>
      </c>
      <c r="H68" s="886"/>
      <c r="I68" s="417">
        <v>-2.6335329934161676E-2</v>
      </c>
      <c r="J68" s="418">
        <v>1.0671768707482994E-2</v>
      </c>
      <c r="K68" s="419">
        <v>-5.8539920003616297E-3</v>
      </c>
      <c r="L68" s="420">
        <v>-5.8539920003616297E-3</v>
      </c>
      <c r="M68" s="588">
        <v>-3.1800490402125403E-2</v>
      </c>
    </row>
    <row r="69" spans="1:13" ht="14.25" x14ac:dyDescent="0.65">
      <c r="A69" s="883"/>
      <c r="B69" s="606" t="s">
        <v>19</v>
      </c>
      <c r="C69" s="397">
        <v>36278</v>
      </c>
      <c r="D69" s="398">
        <v>43055</v>
      </c>
      <c r="E69" s="399">
        <v>46544</v>
      </c>
      <c r="F69" s="400">
        <v>125877</v>
      </c>
      <c r="G69" s="439">
        <v>903574</v>
      </c>
      <c r="H69" s="886"/>
      <c r="I69" s="417">
        <v>-3.9959775590134437E-2</v>
      </c>
      <c r="J69" s="418">
        <v>7.5247548762042097E-3</v>
      </c>
      <c r="K69" s="419">
        <v>-2.7341290045943545E-2</v>
      </c>
      <c r="L69" s="420">
        <v>-2.7341290045943545E-2</v>
      </c>
      <c r="M69" s="588">
        <v>-3.1181731466766061E-2</v>
      </c>
    </row>
    <row r="70" spans="1:13" ht="14.25" x14ac:dyDescent="0.65">
      <c r="A70" s="883"/>
      <c r="B70" s="606" t="s">
        <v>20</v>
      </c>
      <c r="C70" s="397">
        <v>38943</v>
      </c>
      <c r="D70" s="398">
        <v>43639.509729323123</v>
      </c>
      <c r="E70" s="399">
        <v>46669</v>
      </c>
      <c r="F70" s="400">
        <v>129251.50972932312</v>
      </c>
      <c r="G70" s="439">
        <v>1032825.5097293231</v>
      </c>
      <c r="H70" s="886"/>
      <c r="I70" s="417">
        <v>-2.2882950696273992E-2</v>
      </c>
      <c r="J70" s="418">
        <v>-4.4977511244377811E-4</v>
      </c>
      <c r="K70" s="419">
        <v>-1.7502588673714237E-2</v>
      </c>
      <c r="L70" s="420">
        <v>-1.7502588673714237E-2</v>
      </c>
      <c r="M70" s="588">
        <v>-2.9490761825388789E-2</v>
      </c>
    </row>
    <row r="71" spans="1:13" ht="14.25" x14ac:dyDescent="0.65">
      <c r="A71" s="883"/>
      <c r="B71" s="606" t="s">
        <v>211</v>
      </c>
      <c r="C71" s="397">
        <v>42344</v>
      </c>
      <c r="D71" s="398">
        <v>45323.090825744075</v>
      </c>
      <c r="E71" s="399">
        <v>46364</v>
      </c>
      <c r="F71" s="400">
        <v>134031.09082574409</v>
      </c>
      <c r="G71" s="439">
        <v>1166856.6005550672</v>
      </c>
      <c r="H71" s="886"/>
      <c r="I71" s="417">
        <v>-4.6155925483747438E-2</v>
      </c>
      <c r="J71" s="418">
        <v>-2.6539010665994792E-2</v>
      </c>
      <c r="K71" s="419">
        <v>-3.5775295489740677E-2</v>
      </c>
      <c r="L71" s="420">
        <v>-3.5775295489740677E-2</v>
      </c>
      <c r="M71" s="588">
        <v>-3.0216796771965093E-2</v>
      </c>
    </row>
    <row r="72" spans="1:13" ht="14.25" x14ac:dyDescent="0.65">
      <c r="A72" s="883"/>
      <c r="B72" s="606" t="s">
        <v>213</v>
      </c>
      <c r="C72" s="397">
        <v>41415</v>
      </c>
      <c r="D72" s="398">
        <v>44791.584372036959</v>
      </c>
      <c r="E72" s="399">
        <v>44499</v>
      </c>
      <c r="F72" s="400">
        <v>130705.58437203696</v>
      </c>
      <c r="G72" s="439">
        <v>1297562.184927104</v>
      </c>
      <c r="H72" s="886"/>
      <c r="I72" s="417">
        <v>-5.1094054301752775E-2</v>
      </c>
      <c r="J72" s="418">
        <v>-3.4456571267385598E-2</v>
      </c>
      <c r="K72" s="419">
        <v>-2.5021748679419975E-2</v>
      </c>
      <c r="L72" s="420">
        <v>-2.5021748679419975E-2</v>
      </c>
      <c r="M72" s="588">
        <v>-2.9695999825910535E-2</v>
      </c>
    </row>
    <row r="73" spans="1:13" ht="14.25" x14ac:dyDescent="0.65">
      <c r="A73" s="883"/>
      <c r="B73" s="606" t="s">
        <v>216</v>
      </c>
      <c r="C73" s="397">
        <v>41585</v>
      </c>
      <c r="D73" s="398">
        <v>44265</v>
      </c>
      <c r="E73" s="399">
        <v>44559</v>
      </c>
      <c r="F73" s="400">
        <v>130409</v>
      </c>
      <c r="G73" s="439">
        <v>1427971.184927104</v>
      </c>
      <c r="H73" s="886"/>
      <c r="I73" s="417">
        <v>-2.4055386059610419E-2</v>
      </c>
      <c r="J73" s="418">
        <v>1.3258426966292136E-3</v>
      </c>
      <c r="K73" s="419">
        <v>1.7744933859791256E-3</v>
      </c>
      <c r="L73" s="420">
        <v>1.7744933859791256E-3</v>
      </c>
      <c r="M73" s="588">
        <v>-2.6904244981734826E-2</v>
      </c>
    </row>
    <row r="74" spans="1:13" ht="15" thickBot="1" x14ac:dyDescent="0.8">
      <c r="A74" s="884"/>
      <c r="B74" s="404" t="s">
        <v>217</v>
      </c>
      <c r="C74" s="405">
        <v>40810</v>
      </c>
      <c r="D74" s="406">
        <v>45965</v>
      </c>
      <c r="E74" s="407">
        <v>43664</v>
      </c>
      <c r="F74" s="444">
        <v>130439</v>
      </c>
      <c r="G74" s="439">
        <v>1558410.184927104</v>
      </c>
      <c r="H74" s="886"/>
      <c r="I74" s="596">
        <v>-6.838480445839722E-3</v>
      </c>
      <c r="J74" s="597">
        <v>2.2456386839948484E-2</v>
      </c>
      <c r="K74" s="598">
        <v>1.5302826274781411E-2</v>
      </c>
      <c r="L74" s="424">
        <v>1.5302826274781411E-2</v>
      </c>
      <c r="M74" s="599">
        <v>-2.3506548029273211E-2</v>
      </c>
    </row>
    <row r="75" spans="1:13" ht="15" thickBot="1" x14ac:dyDescent="0.75">
      <c r="A75" s="592" t="s">
        <v>220</v>
      </c>
      <c r="B75" s="425"/>
      <c r="C75" s="411">
        <v>40513.583333333336</v>
      </c>
      <c r="D75" s="411">
        <v>44141.43207725868</v>
      </c>
      <c r="E75" s="411">
        <v>45212.5</v>
      </c>
      <c r="F75" s="412">
        <v>129867.51541059201</v>
      </c>
      <c r="G75" s="412"/>
      <c r="H75" s="886"/>
      <c r="I75" s="426">
        <v>-3.8560478160581502E-2</v>
      </c>
      <c r="J75" s="426">
        <v>-2.9885171297642343E-2</v>
      </c>
      <c r="K75" s="427">
        <v>-3.1206037336698467E-3</v>
      </c>
      <c r="L75" s="428"/>
      <c r="M75" s="427">
        <v>-2.3506548029273211E-2</v>
      </c>
    </row>
    <row r="76" spans="1:13" ht="14.25" x14ac:dyDescent="0.65">
      <c r="A76" s="883">
        <v>2010</v>
      </c>
      <c r="B76" s="584" t="s">
        <v>191</v>
      </c>
      <c r="C76" s="389">
        <v>38769</v>
      </c>
      <c r="D76" s="390">
        <v>40948</v>
      </c>
      <c r="E76" s="391">
        <v>40896</v>
      </c>
      <c r="F76" s="392">
        <v>120613</v>
      </c>
      <c r="G76" s="438">
        <v>120613</v>
      </c>
      <c r="H76" s="893" t="s">
        <v>231</v>
      </c>
      <c r="I76" s="607">
        <v>-3.2009188284936707E-2</v>
      </c>
      <c r="J76" s="603">
        <v>-2.674916706330319E-2</v>
      </c>
      <c r="K76" s="604">
        <v>-2.7518423556351035E-2</v>
      </c>
      <c r="L76" s="416">
        <v>-2.7518423556351035E-2</v>
      </c>
      <c r="M76" s="605">
        <v>-2.7518423556351035E-2</v>
      </c>
    </row>
    <row r="77" spans="1:13" ht="14.25" x14ac:dyDescent="0.65">
      <c r="A77" s="883"/>
      <c r="B77" s="396" t="s">
        <v>195</v>
      </c>
      <c r="C77" s="397">
        <v>40353</v>
      </c>
      <c r="D77" s="398">
        <v>42290</v>
      </c>
      <c r="E77" s="399">
        <v>42919</v>
      </c>
      <c r="F77" s="400">
        <v>125562</v>
      </c>
      <c r="G77" s="439">
        <v>246175</v>
      </c>
      <c r="H77" s="894"/>
      <c r="I77" s="608">
        <v>-2.688820295167358E-2</v>
      </c>
      <c r="J77" s="418">
        <v>-2.0851869595966511E-2</v>
      </c>
      <c r="K77" s="419">
        <v>-2.2688885948457749E-2</v>
      </c>
      <c r="L77" s="420">
        <v>-2.2688885948457749E-2</v>
      </c>
      <c r="M77" s="588">
        <v>-2.5061088383108276E-2</v>
      </c>
    </row>
    <row r="78" spans="1:13" ht="14.25" x14ac:dyDescent="0.65">
      <c r="A78" s="883"/>
      <c r="B78" s="396" t="s">
        <v>15</v>
      </c>
      <c r="C78" s="397">
        <v>39577.55385956086</v>
      </c>
      <c r="D78" s="398">
        <v>44527</v>
      </c>
      <c r="E78" s="399">
        <v>44702</v>
      </c>
      <c r="F78" s="400">
        <v>128806.55385956087</v>
      </c>
      <c r="G78" s="439">
        <v>374981.55385956087</v>
      </c>
      <c r="H78" s="894"/>
      <c r="I78" s="608">
        <v>-7.2016838388687665E-2</v>
      </c>
      <c r="J78" s="418">
        <v>-1.1170836374897693E-2</v>
      </c>
      <c r="K78" s="419">
        <v>-2.2934431771517327E-2</v>
      </c>
      <c r="L78" s="420">
        <v>-2.2934431771517327E-2</v>
      </c>
      <c r="M78" s="588">
        <v>-2.4331624243661421E-2</v>
      </c>
    </row>
    <row r="79" spans="1:13" ht="14.25" x14ac:dyDescent="0.65">
      <c r="A79" s="883"/>
      <c r="B79" s="396" t="s">
        <v>16</v>
      </c>
      <c r="C79" s="397">
        <v>38546</v>
      </c>
      <c r="D79" s="398">
        <v>41213</v>
      </c>
      <c r="E79" s="399">
        <v>42389</v>
      </c>
      <c r="F79" s="400">
        <v>122148</v>
      </c>
      <c r="G79" s="439">
        <v>497129.55385956087</v>
      </c>
      <c r="H79" s="894"/>
      <c r="I79" s="608">
        <v>-3.968708737138444E-2</v>
      </c>
      <c r="J79" s="418">
        <v>-5.3816964285714287E-2</v>
      </c>
      <c r="K79" s="419">
        <v>-4.5495037899507706E-2</v>
      </c>
      <c r="L79" s="420">
        <v>-4.5495037899507706E-2</v>
      </c>
      <c r="M79" s="588">
        <v>-2.9618109088643152E-2</v>
      </c>
    </row>
    <row r="80" spans="1:13" ht="14.25" x14ac:dyDescent="0.65">
      <c r="A80" s="883"/>
      <c r="B80" s="396" t="s">
        <v>17</v>
      </c>
      <c r="C80" s="397">
        <v>42047</v>
      </c>
      <c r="D80" s="398">
        <v>46617</v>
      </c>
      <c r="E80" s="399">
        <v>48759</v>
      </c>
      <c r="F80" s="400">
        <v>137423</v>
      </c>
      <c r="G80" s="439">
        <v>634552.55385956087</v>
      </c>
      <c r="H80" s="894"/>
      <c r="I80" s="608">
        <v>2.1972145930048852E-2</v>
      </c>
      <c r="J80" s="418">
        <v>4.0769280027321823E-2</v>
      </c>
      <c r="K80" s="419">
        <v>3.202961894891776E-2</v>
      </c>
      <c r="L80" s="420">
        <v>3.202961894891776E-2</v>
      </c>
      <c r="M80" s="588">
        <v>-1.6900240510951292E-2</v>
      </c>
    </row>
    <row r="81" spans="1:13" ht="14.25" x14ac:dyDescent="0.65">
      <c r="A81" s="883"/>
      <c r="B81" s="396" t="s">
        <v>18</v>
      </c>
      <c r="C81" s="397">
        <v>38698</v>
      </c>
      <c r="D81" s="398">
        <v>44896</v>
      </c>
      <c r="E81" s="399">
        <v>47264</v>
      </c>
      <c r="F81" s="400">
        <v>130858</v>
      </c>
      <c r="G81" s="439">
        <v>765410.55385956087</v>
      </c>
      <c r="H81" s="894"/>
      <c r="I81" s="608">
        <v>-1.6269256189943567E-2</v>
      </c>
      <c r="J81" s="418">
        <v>-5.8474611922089944E-3</v>
      </c>
      <c r="K81" s="419">
        <v>-1.042076287848992E-2</v>
      </c>
      <c r="L81" s="420">
        <v>-1.042076287848992E-2</v>
      </c>
      <c r="M81" s="588">
        <v>-1.5798500110504654E-2</v>
      </c>
    </row>
    <row r="82" spans="1:13" ht="14.25" x14ac:dyDescent="0.65">
      <c r="A82" s="883"/>
      <c r="B82" s="396" t="s">
        <v>19</v>
      </c>
      <c r="C82" s="397">
        <v>32469.834451891707</v>
      </c>
      <c r="D82" s="398">
        <v>40894</v>
      </c>
      <c r="E82" s="399">
        <v>45038</v>
      </c>
      <c r="F82" s="400">
        <v>118401.83445189171</v>
      </c>
      <c r="G82" s="439">
        <v>883812.38831145258</v>
      </c>
      <c r="H82" s="894"/>
      <c r="I82" s="608">
        <v>-0.1049717610702986</v>
      </c>
      <c r="J82" s="418">
        <v>-3.2356479889996563E-2</v>
      </c>
      <c r="K82" s="419">
        <v>-5.9384681459744737E-2</v>
      </c>
      <c r="L82" s="420">
        <v>-5.9384681459744737E-2</v>
      </c>
      <c r="M82" s="588">
        <v>-2.1870496150340091E-2</v>
      </c>
    </row>
    <row r="83" spans="1:13" ht="14.25" x14ac:dyDescent="0.65">
      <c r="A83" s="883"/>
      <c r="B83" s="396" t="s">
        <v>20</v>
      </c>
      <c r="C83" s="397">
        <v>39203</v>
      </c>
      <c r="D83" s="398">
        <v>44069</v>
      </c>
      <c r="E83" s="399">
        <v>46872</v>
      </c>
      <c r="F83" s="400">
        <v>130144</v>
      </c>
      <c r="G83" s="439">
        <v>1013956.3883114526</v>
      </c>
      <c r="H83" s="894"/>
      <c r="I83" s="608">
        <v>6.6764245178851144E-3</v>
      </c>
      <c r="J83" s="418">
        <v>4.3497825108744564E-3</v>
      </c>
      <c r="K83" s="419">
        <v>6.9050665059613436E-3</v>
      </c>
      <c r="L83" s="420">
        <v>6.9050665059613436E-3</v>
      </c>
      <c r="M83" s="588">
        <v>-1.8269418444956553E-2</v>
      </c>
    </row>
    <row r="84" spans="1:13" ht="14.25" x14ac:dyDescent="0.65">
      <c r="A84" s="883"/>
      <c r="B84" s="396" t="s">
        <v>211</v>
      </c>
      <c r="C84" s="397">
        <v>41946</v>
      </c>
      <c r="D84" s="398">
        <v>44929</v>
      </c>
      <c r="E84" s="399">
        <v>46070</v>
      </c>
      <c r="F84" s="400">
        <v>132945</v>
      </c>
      <c r="G84" s="439">
        <v>1146901.3883114527</v>
      </c>
      <c r="H84" s="894"/>
      <c r="I84" s="608">
        <v>-9.3992064991498207E-3</v>
      </c>
      <c r="J84" s="418">
        <v>-6.3411267362608924E-3</v>
      </c>
      <c r="K84" s="419">
        <v>-8.1032752852555623E-3</v>
      </c>
      <c r="L84" s="420">
        <v>-8.1032752852555623E-3</v>
      </c>
      <c r="M84" s="588">
        <v>-1.7101683475177598E-2</v>
      </c>
    </row>
    <row r="85" spans="1:13" ht="14.25" x14ac:dyDescent="0.65">
      <c r="A85" s="883"/>
      <c r="B85" s="396" t="s">
        <v>213</v>
      </c>
      <c r="C85" s="397">
        <v>41381</v>
      </c>
      <c r="D85" s="398">
        <v>44334</v>
      </c>
      <c r="E85" s="399">
        <v>45824</v>
      </c>
      <c r="F85" s="400">
        <v>131539</v>
      </c>
      <c r="G85" s="439">
        <v>1278440.3883114527</v>
      </c>
      <c r="H85" s="894"/>
      <c r="I85" s="608">
        <v>-8.2095858988289264E-4</v>
      </c>
      <c r="J85" s="418">
        <v>2.9775950021348793E-2</v>
      </c>
      <c r="K85" s="419">
        <v>6.3762817171668651E-3</v>
      </c>
      <c r="L85" s="420">
        <v>6.3762817171668651E-3</v>
      </c>
      <c r="M85" s="588">
        <v>-1.4736709221165878E-2</v>
      </c>
    </row>
    <row r="86" spans="1:13" ht="14.25" x14ac:dyDescent="0.65">
      <c r="A86" s="883"/>
      <c r="B86" s="396" t="s">
        <v>216</v>
      </c>
      <c r="C86" s="397">
        <v>38837.210682722696</v>
      </c>
      <c r="D86" s="398">
        <v>44338</v>
      </c>
      <c r="E86" s="399">
        <v>44525</v>
      </c>
      <c r="F86" s="400">
        <v>127700.2106827227</v>
      </c>
      <c r="G86" s="439">
        <v>1406140.5989941754</v>
      </c>
      <c r="H86" s="894"/>
      <c r="I86" s="608">
        <v>-6.6076453463443638E-2</v>
      </c>
      <c r="J86" s="418">
        <v>-7.6303328171637601E-4</v>
      </c>
      <c r="K86" s="419">
        <v>-2.0771490597100706E-2</v>
      </c>
      <c r="L86" s="420">
        <v>-2.0771490597100706E-2</v>
      </c>
      <c r="M86" s="588">
        <v>-1.5287833650538984E-2</v>
      </c>
    </row>
    <row r="87" spans="1:13" ht="15" thickBot="1" x14ac:dyDescent="0.8">
      <c r="A87" s="884"/>
      <c r="B87" s="396" t="s">
        <v>217</v>
      </c>
      <c r="C87" s="609">
        <v>40499</v>
      </c>
      <c r="D87" s="408">
        <v>46137</v>
      </c>
      <c r="E87" s="610">
        <v>44030</v>
      </c>
      <c r="F87" s="444">
        <v>130666</v>
      </c>
      <c r="G87" s="439">
        <v>1536806.5989941754</v>
      </c>
      <c r="H87" s="894"/>
      <c r="I87" s="608">
        <v>-7.6206812055868659E-3</v>
      </c>
      <c r="J87" s="418">
        <v>8.3821912788567248E-3</v>
      </c>
      <c r="K87" s="419">
        <v>1.7402770643748511E-3</v>
      </c>
      <c r="L87" s="420">
        <v>1.7402770643748511E-3</v>
      </c>
      <c r="M87" s="588">
        <v>-1.3862580045919781E-2</v>
      </c>
    </row>
    <row r="88" spans="1:13" ht="15" thickBot="1" x14ac:dyDescent="0.75">
      <c r="A88" s="592" t="s">
        <v>220</v>
      </c>
      <c r="B88" s="425"/>
      <c r="C88" s="411">
        <v>39360.54991618127</v>
      </c>
      <c r="D88" s="411">
        <v>43766</v>
      </c>
      <c r="E88" s="411">
        <v>44940.666666666664</v>
      </c>
      <c r="F88" s="412">
        <v>128067.21658284795</v>
      </c>
      <c r="G88" s="412"/>
      <c r="H88" s="895"/>
      <c r="I88" s="611">
        <v>-2.8460415551625262E-2</v>
      </c>
      <c r="J88" s="426">
        <v>-8.5052083630087205E-3</v>
      </c>
      <c r="K88" s="427">
        <v>-6.0123490922495693E-3</v>
      </c>
      <c r="L88" s="428"/>
      <c r="M88" s="427">
        <v>-1.3862580045919781E-2</v>
      </c>
    </row>
    <row r="89" spans="1:13" ht="14.25" x14ac:dyDescent="0.65">
      <c r="A89" s="883">
        <v>2011</v>
      </c>
      <c r="B89" s="612" t="s">
        <v>191</v>
      </c>
      <c r="C89" s="613">
        <v>34438</v>
      </c>
      <c r="D89" s="614">
        <v>40650</v>
      </c>
      <c r="E89" s="615">
        <v>40584</v>
      </c>
      <c r="F89" s="392">
        <v>115672</v>
      </c>
      <c r="G89" s="438">
        <v>115672</v>
      </c>
      <c r="H89" s="886" t="s">
        <v>235</v>
      </c>
      <c r="I89" s="616">
        <v>-0.11171296654543579</v>
      </c>
      <c r="J89" s="617">
        <v>-7.2775227117319527E-3</v>
      </c>
      <c r="K89" s="618">
        <v>-7.6291079812206572E-3</v>
      </c>
      <c r="L89" s="619">
        <v>-4.0965733378657387E-2</v>
      </c>
      <c r="M89" s="620">
        <v>-4.0965733378657387E-2</v>
      </c>
    </row>
    <row r="90" spans="1:13" ht="14.25" x14ac:dyDescent="0.65">
      <c r="A90" s="883"/>
      <c r="B90" s="621" t="s">
        <v>195</v>
      </c>
      <c r="C90" s="622">
        <v>38278</v>
      </c>
      <c r="D90" s="623">
        <v>41594</v>
      </c>
      <c r="E90" s="624">
        <v>42191</v>
      </c>
      <c r="F90" s="400">
        <v>122063</v>
      </c>
      <c r="G90" s="439">
        <v>237735</v>
      </c>
      <c r="H90" s="886"/>
      <c r="I90" s="625">
        <v>-5.1421207840804894E-2</v>
      </c>
      <c r="J90" s="626">
        <v>-1.6457791440056751E-2</v>
      </c>
      <c r="K90" s="627">
        <v>-1.6962184580255831E-2</v>
      </c>
      <c r="L90" s="628">
        <v>-2.786671126614737E-2</v>
      </c>
      <c r="M90" s="629">
        <v>-3.4284553671168894E-2</v>
      </c>
    </row>
    <row r="91" spans="1:13" ht="14.25" x14ac:dyDescent="0.65">
      <c r="A91" s="883"/>
      <c r="B91" s="612" t="s">
        <v>15</v>
      </c>
      <c r="C91" s="622">
        <v>39577.55385956086</v>
      </c>
      <c r="D91" s="623">
        <v>42024</v>
      </c>
      <c r="E91" s="624">
        <v>42382</v>
      </c>
      <c r="F91" s="400">
        <v>123983.55385956087</v>
      </c>
      <c r="G91" s="439">
        <v>361718.55385956087</v>
      </c>
      <c r="H91" s="886"/>
      <c r="I91" s="625">
        <v>0</v>
      </c>
      <c r="J91" s="626">
        <v>-5.6213084196105732E-2</v>
      </c>
      <c r="K91" s="627">
        <v>-5.1899243881705519E-2</v>
      </c>
      <c r="L91" s="628">
        <v>-3.7443746886191565E-2</v>
      </c>
      <c r="M91" s="629">
        <v>-3.53697398271684E-2</v>
      </c>
    </row>
    <row r="92" spans="1:13" ht="14.25" x14ac:dyDescent="0.65">
      <c r="A92" s="883"/>
      <c r="B92" s="621" t="s">
        <v>16</v>
      </c>
      <c r="C92" s="630">
        <v>38191</v>
      </c>
      <c r="D92" s="631">
        <v>41786</v>
      </c>
      <c r="E92" s="632">
        <v>42456</v>
      </c>
      <c r="F92" s="400">
        <v>122433</v>
      </c>
      <c r="G92" s="439">
        <v>484151.55385956087</v>
      </c>
      <c r="H92" s="886"/>
      <c r="I92" s="633">
        <v>-9.2097753333679234E-3</v>
      </c>
      <c r="J92" s="634">
        <v>1.3903380001455851E-2</v>
      </c>
      <c r="K92" s="635">
        <v>1.5805987402392129E-3</v>
      </c>
      <c r="L92" s="636">
        <v>2.3332350918556788E-3</v>
      </c>
      <c r="M92" s="637">
        <v>-2.6105870993270885E-2</v>
      </c>
    </row>
    <row r="93" spans="1:13" ht="14.25" x14ac:dyDescent="0.65">
      <c r="A93" s="883"/>
      <c r="B93" s="612" t="s">
        <v>17</v>
      </c>
      <c r="C93" s="622">
        <v>40629</v>
      </c>
      <c r="D93" s="623">
        <v>44902.820709191597</v>
      </c>
      <c r="E93" s="624">
        <v>45805</v>
      </c>
      <c r="F93" s="400">
        <v>131336.82070919161</v>
      </c>
      <c r="G93" s="439">
        <v>615488.37456875248</v>
      </c>
      <c r="H93" s="886"/>
      <c r="I93" s="625">
        <v>-3.372416581444574E-2</v>
      </c>
      <c r="J93" s="626">
        <v>-3.6771548808554877E-2</v>
      </c>
      <c r="K93" s="627">
        <v>-6.0583687114173793E-2</v>
      </c>
      <c r="L93" s="628">
        <v>-4.4287923352047232E-2</v>
      </c>
      <c r="M93" s="629">
        <v>-3.0043499430982834E-2</v>
      </c>
    </row>
    <row r="94" spans="1:13" ht="14.25" x14ac:dyDescent="0.65">
      <c r="A94" s="883"/>
      <c r="B94" s="621" t="s">
        <v>18</v>
      </c>
      <c r="C94" s="630">
        <v>37310</v>
      </c>
      <c r="D94" s="631">
        <v>43292.140361930658</v>
      </c>
      <c r="E94" s="632">
        <v>46102</v>
      </c>
      <c r="F94" s="400">
        <v>126704.14036193065</v>
      </c>
      <c r="G94" s="439">
        <v>742192.51493068319</v>
      </c>
      <c r="H94" s="886"/>
      <c r="I94" s="633">
        <v>-3.5867486691818697E-2</v>
      </c>
      <c r="J94" s="634">
        <v>-3.5723887162984268E-2</v>
      </c>
      <c r="K94" s="635">
        <v>-2.4585308056872038E-2</v>
      </c>
      <c r="L94" s="636">
        <v>-3.1743260924585015E-2</v>
      </c>
      <c r="M94" s="637">
        <v>-3.0334098232381757E-2</v>
      </c>
    </row>
    <row r="95" spans="1:13" ht="14.25" x14ac:dyDescent="0.65">
      <c r="A95" s="883"/>
      <c r="B95" s="612" t="s">
        <v>19</v>
      </c>
      <c r="C95" s="638">
        <v>32469.834451891707</v>
      </c>
      <c r="D95" s="639">
        <v>40295</v>
      </c>
      <c r="E95" s="640">
        <v>44324</v>
      </c>
      <c r="F95" s="400">
        <v>117088.83445189171</v>
      </c>
      <c r="G95" s="439">
        <v>859281.3493825749</v>
      </c>
      <c r="H95" s="886"/>
      <c r="I95" s="625">
        <v>0</v>
      </c>
      <c r="J95" s="626">
        <v>-1.4647625568543063E-2</v>
      </c>
      <c r="K95" s="627">
        <v>-1.5853279452906436E-2</v>
      </c>
      <c r="L95" s="628">
        <v>-1.1089355212089091E-2</v>
      </c>
      <c r="M95" s="629">
        <v>-2.775593469078308E-2</v>
      </c>
    </row>
    <row r="96" spans="1:13" ht="14.25" x14ac:dyDescent="0.65">
      <c r="A96" s="883"/>
      <c r="B96" s="621" t="s">
        <v>20</v>
      </c>
      <c r="C96" s="630">
        <v>39501</v>
      </c>
      <c r="D96" s="631">
        <v>43816</v>
      </c>
      <c r="E96" s="632">
        <v>47395</v>
      </c>
      <c r="F96" s="400">
        <v>130712</v>
      </c>
      <c r="G96" s="439">
        <v>989993.3493825749</v>
      </c>
      <c r="H96" s="886"/>
      <c r="I96" s="633">
        <v>7.6014590720097953E-3</v>
      </c>
      <c r="J96" s="634">
        <v>-5.7409970727722434E-3</v>
      </c>
      <c r="K96" s="635">
        <v>1.1158047448370029E-2</v>
      </c>
      <c r="L96" s="636">
        <v>4.3643963609540926E-3</v>
      </c>
      <c r="M96" s="637">
        <v>-2.3633204746392966E-2</v>
      </c>
    </row>
    <row r="97" spans="1:16" ht="14.25" x14ac:dyDescent="0.65">
      <c r="A97" s="883"/>
      <c r="B97" s="612" t="s">
        <v>211</v>
      </c>
      <c r="C97" s="622">
        <v>42149</v>
      </c>
      <c r="D97" s="623">
        <v>44852</v>
      </c>
      <c r="E97" s="624">
        <v>46305</v>
      </c>
      <c r="F97" s="400">
        <v>133306</v>
      </c>
      <c r="G97" s="439">
        <v>1123299.3493825749</v>
      </c>
      <c r="H97" s="886"/>
      <c r="I97" s="625">
        <v>4.8395556191293569E-3</v>
      </c>
      <c r="J97" s="626">
        <v>-1.7138151305392953E-3</v>
      </c>
      <c r="K97" s="627">
        <v>5.1009333622747989E-3</v>
      </c>
      <c r="L97" s="628">
        <v>2.7154086276279799E-3</v>
      </c>
      <c r="M97" s="629">
        <v>-2.0578960989511397E-2</v>
      </c>
      <c r="P97" s="50">
        <f>1/13</f>
        <v>7.6923076923076927E-2</v>
      </c>
    </row>
    <row r="98" spans="1:16" ht="14.25" x14ac:dyDescent="0.65">
      <c r="A98" s="883"/>
      <c r="B98" s="621" t="s">
        <v>213</v>
      </c>
      <c r="C98" s="622">
        <v>38837.210682722696</v>
      </c>
      <c r="D98" s="623">
        <v>43630</v>
      </c>
      <c r="E98" s="624">
        <v>44120</v>
      </c>
      <c r="F98" s="400">
        <v>126587.2106827227</v>
      </c>
      <c r="G98" s="439">
        <v>1249886.5600652976</v>
      </c>
      <c r="H98" s="886"/>
      <c r="I98" s="625">
        <v>-6.147239837793441E-2</v>
      </c>
      <c r="J98" s="626">
        <v>-1.5879460459241216E-2</v>
      </c>
      <c r="K98" s="627">
        <v>-3.7185754189944131E-2</v>
      </c>
      <c r="L98" s="628">
        <v>-3.764502784176027E-2</v>
      </c>
      <c r="M98" s="629">
        <v>-2.2334892191468225E-2</v>
      </c>
    </row>
    <row r="99" spans="1:16" ht="14.25" x14ac:dyDescent="0.65">
      <c r="A99" s="883"/>
      <c r="B99" s="612" t="s">
        <v>216</v>
      </c>
      <c r="C99" s="622">
        <v>38914</v>
      </c>
      <c r="D99" s="623">
        <v>45013</v>
      </c>
      <c r="E99" s="624">
        <v>43954</v>
      </c>
      <c r="F99" s="400">
        <v>127881</v>
      </c>
      <c r="G99" s="439">
        <v>1377767.5600652976</v>
      </c>
      <c r="H99" s="886"/>
      <c r="I99" s="625">
        <v>1.9772098955465056E-3</v>
      </c>
      <c r="J99" s="626">
        <v>1.5223961387523117E-2</v>
      </c>
      <c r="K99" s="627">
        <v>-1.2824256035934869E-2</v>
      </c>
      <c r="L99" s="628">
        <v>1.4157323336487782E-3</v>
      </c>
      <c r="M99" s="629">
        <v>-2.0177953007809668E-2</v>
      </c>
    </row>
    <row r="100" spans="1:16" ht="15" thickBot="1" x14ac:dyDescent="0.8">
      <c r="A100" s="884"/>
      <c r="B100" s="621" t="s">
        <v>217</v>
      </c>
      <c r="C100" s="622">
        <v>39009</v>
      </c>
      <c r="D100" s="623">
        <v>44817</v>
      </c>
      <c r="E100" s="624">
        <v>41196</v>
      </c>
      <c r="F100" s="444">
        <v>125022</v>
      </c>
      <c r="G100" s="439">
        <v>1502789.5600652976</v>
      </c>
      <c r="H100" s="886"/>
      <c r="I100" s="641">
        <v>-3.6791031877330307E-2</v>
      </c>
      <c r="J100" s="642">
        <v>-2.8610442811626245E-2</v>
      </c>
      <c r="K100" s="643">
        <v>-6.4365205541676129E-2</v>
      </c>
      <c r="L100" s="644">
        <v>-4.3194097929071029E-2</v>
      </c>
      <c r="M100" s="645">
        <v>-2.2134886036500379E-2</v>
      </c>
    </row>
    <row r="101" spans="1:16" ht="15" thickBot="1" x14ac:dyDescent="0.75">
      <c r="A101" s="592" t="s">
        <v>220</v>
      </c>
      <c r="B101" s="425"/>
      <c r="C101" s="411">
        <v>38275.29991618127</v>
      </c>
      <c r="D101" s="411">
        <v>43055.996755926855</v>
      </c>
      <c r="E101" s="411">
        <v>43901.166666666664</v>
      </c>
      <c r="F101" s="412">
        <v>125232.4633387748</v>
      </c>
      <c r="G101" s="412"/>
      <c r="H101" s="887"/>
      <c r="I101" s="426">
        <v>-2.7572023315503791E-2</v>
      </c>
      <c r="J101" s="426">
        <v>-1.6222712701026931E-2</v>
      </c>
      <c r="K101" s="427">
        <v>-2.3130497989942267E-2</v>
      </c>
      <c r="L101" s="428"/>
      <c r="M101" s="427">
        <v>-2.2134886036500379E-2</v>
      </c>
    </row>
    <row r="102" spans="1:16" ht="14.25" x14ac:dyDescent="0.65">
      <c r="A102" s="883">
        <v>2012</v>
      </c>
      <c r="B102" s="612" t="s">
        <v>191</v>
      </c>
      <c r="C102" s="613">
        <v>36756</v>
      </c>
      <c r="D102" s="614">
        <v>40229</v>
      </c>
      <c r="E102" s="615">
        <v>37935</v>
      </c>
      <c r="F102" s="392">
        <v>114920</v>
      </c>
      <c r="G102" s="438">
        <v>114920</v>
      </c>
      <c r="H102" s="885" t="s">
        <v>236</v>
      </c>
      <c r="I102" s="616">
        <v>6.7309367559091698E-2</v>
      </c>
      <c r="J102" s="617">
        <v>-1.035670356703567E-2</v>
      </c>
      <c r="K102" s="618">
        <v>-6.5272028385570668E-2</v>
      </c>
      <c r="L102" s="619">
        <v>-6.5011411577564626E-3</v>
      </c>
      <c r="M102" s="620">
        <v>-6.5011411577564626E-3</v>
      </c>
      <c r="P102" s="50">
        <v>2012</v>
      </c>
    </row>
    <row r="103" spans="1:16" ht="14.25" x14ac:dyDescent="0.65">
      <c r="A103" s="883"/>
      <c r="B103" s="621" t="s">
        <v>195</v>
      </c>
      <c r="C103" s="622">
        <v>39916</v>
      </c>
      <c r="D103" s="623">
        <v>42641</v>
      </c>
      <c r="E103" s="624">
        <v>42098</v>
      </c>
      <c r="F103" s="400">
        <v>124655</v>
      </c>
      <c r="G103" s="439">
        <v>239575</v>
      </c>
      <c r="H103" s="886"/>
      <c r="I103" s="625">
        <v>4.2792204399393907E-2</v>
      </c>
      <c r="J103" s="626">
        <v>2.5171899793239409E-2</v>
      </c>
      <c r="K103" s="627">
        <v>-2.204261572373255E-3</v>
      </c>
      <c r="L103" s="628">
        <v>2.1234936057609621E-2</v>
      </c>
      <c r="M103" s="629">
        <v>7.7397101815046554E-3</v>
      </c>
      <c r="P103" s="50">
        <f>P102+$P$97</f>
        <v>2012.0769230769231</v>
      </c>
    </row>
    <row r="104" spans="1:16" ht="14.25" x14ac:dyDescent="0.65">
      <c r="A104" s="883"/>
      <c r="B104" s="612" t="s">
        <v>15</v>
      </c>
      <c r="C104" s="622">
        <v>40799</v>
      </c>
      <c r="D104" s="623">
        <v>42827.129822515941</v>
      </c>
      <c r="E104" s="624">
        <v>43161</v>
      </c>
      <c r="F104" s="400">
        <v>126787.12982251594</v>
      </c>
      <c r="G104" s="439">
        <v>366362.12982251594</v>
      </c>
      <c r="H104" s="886"/>
      <c r="I104" s="625">
        <v>3.0862092810823687E-2</v>
      </c>
      <c r="J104" s="626">
        <v>1.9111217935368855E-2</v>
      </c>
      <c r="K104" s="627">
        <v>1.8380444528337501E-2</v>
      </c>
      <c r="L104" s="628">
        <v>2.2612482669521983E-2</v>
      </c>
      <c r="M104" s="629">
        <v>1.2837538780932967E-2</v>
      </c>
      <c r="P104" s="50">
        <f t="shared" ref="P104:P114" si="96">P103+$P$97</f>
        <v>2012.1538461538462</v>
      </c>
    </row>
    <row r="105" spans="1:16" ht="14.25" x14ac:dyDescent="0.65">
      <c r="A105" s="883"/>
      <c r="B105" s="621" t="s">
        <v>16</v>
      </c>
      <c r="C105" s="622">
        <v>37312</v>
      </c>
      <c r="D105" s="623">
        <v>41032</v>
      </c>
      <c r="E105" s="624">
        <v>42770</v>
      </c>
      <c r="F105" s="400">
        <v>121114</v>
      </c>
      <c r="G105" s="439">
        <v>487476.12982251594</v>
      </c>
      <c r="H105" s="886"/>
      <c r="I105" s="625">
        <v>-2.3015893796967873E-2</v>
      </c>
      <c r="J105" s="626">
        <v>-1.8044321064471354E-2</v>
      </c>
      <c r="K105" s="627">
        <v>7.3958922178255131E-3</v>
      </c>
      <c r="L105" s="628">
        <v>-1.0773239241054333E-2</v>
      </c>
      <c r="M105" s="629">
        <v>6.8668084124736684E-3</v>
      </c>
      <c r="P105" s="50">
        <f t="shared" si="96"/>
        <v>2012.2307692307693</v>
      </c>
    </row>
    <row r="106" spans="1:16" ht="14.25" x14ac:dyDescent="0.65">
      <c r="A106" s="883"/>
      <c r="B106" s="612" t="s">
        <v>17</v>
      </c>
      <c r="C106" s="622">
        <v>39532</v>
      </c>
      <c r="D106" s="623">
        <v>44101</v>
      </c>
      <c r="E106" s="624">
        <v>47730</v>
      </c>
      <c r="F106" s="400">
        <v>131363</v>
      </c>
      <c r="G106" s="439">
        <v>618839.12982251588</v>
      </c>
      <c r="H106" s="886"/>
      <c r="I106" s="625">
        <v>-2.700041842034015E-2</v>
      </c>
      <c r="J106" s="626">
        <v>-1.7856800453238897E-2</v>
      </c>
      <c r="K106" s="627">
        <v>4.2025979696539678E-2</v>
      </c>
      <c r="L106" s="628">
        <v>1.9932940866862481E-4</v>
      </c>
      <c r="M106" s="629">
        <v>5.4440593717324237E-3</v>
      </c>
      <c r="P106" s="50">
        <f t="shared" si="96"/>
        <v>2012.3076923076924</v>
      </c>
    </row>
    <row r="107" spans="1:16" ht="14.25" x14ac:dyDescent="0.65">
      <c r="A107" s="883"/>
      <c r="B107" s="621" t="s">
        <v>18</v>
      </c>
      <c r="C107" s="622">
        <v>38535</v>
      </c>
      <c r="D107" s="623">
        <v>45391</v>
      </c>
      <c r="E107" s="624">
        <v>49113</v>
      </c>
      <c r="F107" s="400">
        <v>133039</v>
      </c>
      <c r="G107" s="439">
        <v>751878.12982251588</v>
      </c>
      <c r="H107" s="886"/>
      <c r="I107" s="625">
        <v>3.283302063789869E-2</v>
      </c>
      <c r="J107" s="626">
        <v>4.8481309090344565E-2</v>
      </c>
      <c r="K107" s="627">
        <v>6.5311700143160817E-2</v>
      </c>
      <c r="L107" s="628">
        <v>4.9997258337208361E-2</v>
      </c>
      <c r="M107" s="629">
        <v>1.3050003465391091E-2</v>
      </c>
      <c r="P107" s="50">
        <f t="shared" si="96"/>
        <v>2012.3846153846155</v>
      </c>
    </row>
    <row r="108" spans="1:16" ht="14.25" x14ac:dyDescent="0.65">
      <c r="A108" s="883"/>
      <c r="B108" s="612" t="s">
        <v>19</v>
      </c>
      <c r="C108" s="622">
        <v>35019</v>
      </c>
      <c r="D108" s="623">
        <v>42613</v>
      </c>
      <c r="E108" s="624">
        <v>45682</v>
      </c>
      <c r="F108" s="400">
        <v>123314</v>
      </c>
      <c r="G108" s="439">
        <v>875192.12982251588</v>
      </c>
      <c r="H108" s="886"/>
      <c r="I108" s="625">
        <v>7.8508732524805863E-2</v>
      </c>
      <c r="J108" s="626">
        <v>5.7525747611366175E-2</v>
      </c>
      <c r="K108" s="627">
        <v>3.0638029058749211E-2</v>
      </c>
      <c r="L108" s="628">
        <v>5.316617572673854E-2</v>
      </c>
      <c r="M108" s="629">
        <v>1.8516380521203413E-2</v>
      </c>
      <c r="P108" s="50">
        <f t="shared" si="96"/>
        <v>2012.4615384615386</v>
      </c>
    </row>
    <row r="109" spans="1:16" ht="14.25" x14ac:dyDescent="0.65">
      <c r="A109" s="883"/>
      <c r="B109" s="621" t="s">
        <v>20</v>
      </c>
      <c r="C109" s="622">
        <v>38080</v>
      </c>
      <c r="D109" s="623">
        <v>44481</v>
      </c>
      <c r="E109" s="624">
        <v>46569</v>
      </c>
      <c r="F109" s="400">
        <v>129130</v>
      </c>
      <c r="G109" s="439">
        <v>1004322.1298225159</v>
      </c>
      <c r="H109" s="886"/>
      <c r="I109" s="625">
        <v>-3.5973772815878081E-2</v>
      </c>
      <c r="J109" s="626">
        <v>1.5177104254153733E-2</v>
      </c>
      <c r="K109" s="627">
        <v>-1.7427998734043677E-2</v>
      </c>
      <c r="L109" s="628">
        <v>-1.2102943876614258E-2</v>
      </c>
      <c r="M109" s="629">
        <v>1.4473612826669369E-2</v>
      </c>
      <c r="P109" s="50">
        <f t="shared" si="96"/>
        <v>2012.5384615384617</v>
      </c>
    </row>
    <row r="110" spans="1:16" ht="14.25" x14ac:dyDescent="0.65">
      <c r="A110" s="883"/>
      <c r="B110" s="612" t="s">
        <v>211</v>
      </c>
      <c r="C110" s="622">
        <v>40494</v>
      </c>
      <c r="D110" s="623">
        <v>45206</v>
      </c>
      <c r="E110" s="624">
        <v>45960</v>
      </c>
      <c r="F110" s="400">
        <v>131660</v>
      </c>
      <c r="G110" s="439">
        <v>1135982.1298225159</v>
      </c>
      <c r="H110" s="886"/>
      <c r="I110" s="625">
        <v>-3.9265463000308427E-2</v>
      </c>
      <c r="J110" s="626">
        <v>7.8926246321234274E-3</v>
      </c>
      <c r="K110" s="627">
        <v>-7.4505992873339809E-3</v>
      </c>
      <c r="L110" s="628">
        <v>-1.2347531243904974E-2</v>
      </c>
      <c r="M110" s="629">
        <v>1.1290650570493277E-2</v>
      </c>
      <c r="P110" s="50">
        <f t="shared" si="96"/>
        <v>2012.6153846153848</v>
      </c>
    </row>
    <row r="111" spans="1:16" ht="14.25" x14ac:dyDescent="0.65">
      <c r="A111" s="883"/>
      <c r="B111" s="621" t="s">
        <v>213</v>
      </c>
      <c r="C111" s="622">
        <v>40938</v>
      </c>
      <c r="D111" s="623">
        <v>45269</v>
      </c>
      <c r="E111" s="624">
        <v>45129</v>
      </c>
      <c r="F111" s="400">
        <v>131336</v>
      </c>
      <c r="G111" s="439">
        <v>1267318.1298225159</v>
      </c>
      <c r="H111" s="886"/>
      <c r="I111" s="625">
        <v>5.4092178103096134E-2</v>
      </c>
      <c r="J111" s="626">
        <v>3.7565895026358008E-2</v>
      </c>
      <c r="K111" s="627">
        <v>2.2869446962828648E-2</v>
      </c>
      <c r="L111" s="628">
        <v>3.7513973897249642E-2</v>
      </c>
      <c r="M111" s="629">
        <v>1.3946521479763385E-2</v>
      </c>
      <c r="P111" s="50">
        <f t="shared" si="96"/>
        <v>2012.6923076923078</v>
      </c>
    </row>
    <row r="112" spans="1:16" ht="14.25" x14ac:dyDescent="0.65">
      <c r="A112" s="883"/>
      <c r="B112" s="612" t="s">
        <v>216</v>
      </c>
      <c r="C112" s="622">
        <v>40371</v>
      </c>
      <c r="D112" s="623">
        <v>45583</v>
      </c>
      <c r="E112" s="624">
        <v>43603</v>
      </c>
      <c r="F112" s="400">
        <v>129557</v>
      </c>
      <c r="G112" s="439">
        <v>1396875.1298225159</v>
      </c>
      <c r="H112" s="886"/>
      <c r="I112" s="625">
        <v>3.7441537749910055E-2</v>
      </c>
      <c r="J112" s="626">
        <v>1.2663008464221448E-2</v>
      </c>
      <c r="K112" s="627">
        <v>-7.9856213313919105E-3</v>
      </c>
      <c r="L112" s="628">
        <v>1.3105934423409238E-2</v>
      </c>
      <c r="M112" s="629">
        <v>1.3868500254362592E-2</v>
      </c>
      <c r="P112" s="50">
        <f t="shared" si="96"/>
        <v>2012.7692307692309</v>
      </c>
    </row>
    <row r="113" spans="1:16" ht="15" thickBot="1" x14ac:dyDescent="0.8">
      <c r="A113" s="884"/>
      <c r="B113" s="621" t="s">
        <v>217</v>
      </c>
      <c r="C113" s="622">
        <v>39019</v>
      </c>
      <c r="D113" s="623">
        <v>46113</v>
      </c>
      <c r="E113" s="624">
        <v>42487</v>
      </c>
      <c r="F113" s="444">
        <v>127619</v>
      </c>
      <c r="G113" s="439">
        <v>1524494.1298225159</v>
      </c>
      <c r="H113" s="886"/>
      <c r="I113" s="641">
        <v>2.563510984644569E-4</v>
      </c>
      <c r="J113" s="642">
        <v>2.8917598232813441E-2</v>
      </c>
      <c r="K113" s="643">
        <v>3.1337993979998056E-2</v>
      </c>
      <c r="L113" s="644">
        <v>2.0772344067444104E-2</v>
      </c>
      <c r="M113" s="645">
        <v>1.4442853699539349E-2</v>
      </c>
      <c r="P113" s="50">
        <f t="shared" si="96"/>
        <v>2012.846153846154</v>
      </c>
    </row>
    <row r="114" spans="1:16" ht="15" thickBot="1" x14ac:dyDescent="0.75">
      <c r="A114" s="592" t="s">
        <v>220</v>
      </c>
      <c r="B114" s="425"/>
      <c r="C114" s="411">
        <v>38897.583333333336</v>
      </c>
      <c r="D114" s="411">
        <v>43790.510818542993</v>
      </c>
      <c r="E114" s="411">
        <v>44353.083333333336</v>
      </c>
      <c r="F114" s="412">
        <v>127041.17748520966</v>
      </c>
      <c r="G114" s="412"/>
      <c r="H114" s="887"/>
      <c r="I114" s="426">
        <v>1.6258093823295905E-2</v>
      </c>
      <c r="J114" s="426">
        <v>1.7059506641546429E-2</v>
      </c>
      <c r="K114" s="427">
        <v>1.0293955741495164E-2</v>
      </c>
      <c r="L114" s="428"/>
      <c r="M114" s="427">
        <v>1.4442853699539349E-2</v>
      </c>
      <c r="P114" s="50">
        <f t="shared" si="96"/>
        <v>2012.9230769230771</v>
      </c>
    </row>
    <row r="115" spans="1:16" ht="14.25" x14ac:dyDescent="0.65">
      <c r="A115" s="890" t="s">
        <v>237</v>
      </c>
      <c r="B115" s="612" t="s">
        <v>191</v>
      </c>
      <c r="C115" s="613">
        <v>38446</v>
      </c>
      <c r="D115" s="614">
        <v>42881</v>
      </c>
      <c r="E115" s="615">
        <v>41350</v>
      </c>
      <c r="F115" s="392">
        <v>122677</v>
      </c>
      <c r="G115" s="438">
        <v>122677</v>
      </c>
      <c r="H115" s="885" t="s">
        <v>238</v>
      </c>
      <c r="I115" s="616">
        <v>4.5978887800631189E-2</v>
      </c>
      <c r="J115" s="617">
        <v>6.5922593154192244E-2</v>
      </c>
      <c r="K115" s="618">
        <v>9.0022406748385395E-2</v>
      </c>
      <c r="L115" s="619">
        <v>6.7499129829446503E-2</v>
      </c>
      <c r="M115" s="620">
        <v>6.7499129829446503E-2</v>
      </c>
      <c r="O115" s="646">
        <v>2013</v>
      </c>
      <c r="P115" s="646">
        <v>2013</v>
      </c>
    </row>
    <row r="116" spans="1:16" ht="14.25" x14ac:dyDescent="0.65">
      <c r="A116" s="891"/>
      <c r="B116" s="621" t="s">
        <v>195</v>
      </c>
      <c r="C116" s="622">
        <v>40169</v>
      </c>
      <c r="D116" s="623">
        <v>44492</v>
      </c>
      <c r="E116" s="624">
        <v>43946</v>
      </c>
      <c r="F116" s="400">
        <v>128607</v>
      </c>
      <c r="G116" s="439">
        <v>251284</v>
      </c>
      <c r="H116" s="886"/>
      <c r="I116" s="625">
        <v>6.3383104519490934E-3</v>
      </c>
      <c r="J116" s="626">
        <v>4.340892568185549E-2</v>
      </c>
      <c r="K116" s="627">
        <v>4.3897572331227139E-2</v>
      </c>
      <c r="L116" s="628">
        <v>3.1703501664594347E-2</v>
      </c>
      <c r="M116" s="629">
        <v>4.8874047792966779E-2</v>
      </c>
      <c r="O116" s="646">
        <v>2013</v>
      </c>
      <c r="P116" s="646">
        <f t="shared" ref="P116:P179" si="97">P115+$P$97</f>
        <v>2013.0769230769231</v>
      </c>
    </row>
    <row r="117" spans="1:16" ht="14.25" x14ac:dyDescent="0.65">
      <c r="A117" s="891"/>
      <c r="B117" s="612" t="s">
        <v>15</v>
      </c>
      <c r="C117" s="622">
        <v>38554</v>
      </c>
      <c r="D117" s="623">
        <v>43020</v>
      </c>
      <c r="E117" s="624">
        <v>43475</v>
      </c>
      <c r="F117" s="400">
        <v>125049</v>
      </c>
      <c r="G117" s="439">
        <v>376333</v>
      </c>
      <c r="H117" s="886"/>
      <c r="I117" s="625">
        <v>-5.5025858476923456E-2</v>
      </c>
      <c r="J117" s="626">
        <v>4.5034579315343156E-3</v>
      </c>
      <c r="K117" s="627">
        <v>7.2750863047658767E-3</v>
      </c>
      <c r="L117" s="628">
        <v>-1.3709039907671028E-2</v>
      </c>
      <c r="M117" s="629">
        <v>2.7215886593721983E-2</v>
      </c>
      <c r="O117" s="646">
        <v>2013</v>
      </c>
      <c r="P117" s="646">
        <f t="shared" si="97"/>
        <v>2013.1538461538462</v>
      </c>
    </row>
    <row r="118" spans="1:16" ht="14.25" x14ac:dyDescent="0.65">
      <c r="A118" s="891"/>
      <c r="B118" s="621" t="s">
        <v>16</v>
      </c>
      <c r="C118" s="647">
        <v>41025.992454615342</v>
      </c>
      <c r="D118" s="623">
        <v>45251</v>
      </c>
      <c r="E118" s="624">
        <v>45048</v>
      </c>
      <c r="F118" s="400">
        <v>131324.99245461533</v>
      </c>
      <c r="G118" s="439">
        <v>507657.99245461531</v>
      </c>
      <c r="H118" s="886"/>
      <c r="I118" s="625">
        <v>9.9538820074382015E-2</v>
      </c>
      <c r="J118" s="626">
        <v>0.10282218756092805</v>
      </c>
      <c r="K118" s="627">
        <v>5.3261631985036244E-2</v>
      </c>
      <c r="L118" s="628">
        <v>8.4308935834134235E-2</v>
      </c>
      <c r="M118" s="629">
        <v>4.1400719742825887E-2</v>
      </c>
      <c r="O118" s="646">
        <v>2013</v>
      </c>
      <c r="P118" s="646">
        <f t="shared" si="97"/>
        <v>2013.2307692307693</v>
      </c>
    </row>
    <row r="119" spans="1:16" ht="14.25" x14ac:dyDescent="0.65">
      <c r="A119" s="891"/>
      <c r="B119" s="612" t="s">
        <v>17</v>
      </c>
      <c r="C119" s="647">
        <v>41638.072431964101</v>
      </c>
      <c r="D119" s="623">
        <v>46760</v>
      </c>
      <c r="E119" s="624">
        <v>46681</v>
      </c>
      <c r="F119" s="400">
        <v>135079.0724319641</v>
      </c>
      <c r="G119" s="439">
        <v>642737.06488657941</v>
      </c>
      <c r="H119" s="886"/>
      <c r="I119" s="648">
        <v>5.3275129817972812E-2</v>
      </c>
      <c r="J119" s="626">
        <v>6.0293417382825787E-2</v>
      </c>
      <c r="K119" s="627">
        <v>-2.1977791745233604E-2</v>
      </c>
      <c r="L119" s="628">
        <v>2.8288577696642836E-2</v>
      </c>
      <c r="M119" s="629">
        <v>3.8617362594568716E-2</v>
      </c>
      <c r="O119" s="646">
        <v>2013</v>
      </c>
      <c r="P119" s="646">
        <f t="shared" si="97"/>
        <v>2013.3076923076924</v>
      </c>
    </row>
    <row r="120" spans="1:16" ht="14.25" x14ac:dyDescent="0.65">
      <c r="A120" s="891"/>
      <c r="B120" s="621" t="s">
        <v>18</v>
      </c>
      <c r="C120" s="647">
        <v>38222.105951478632</v>
      </c>
      <c r="D120" s="623">
        <v>47287</v>
      </c>
      <c r="E120" s="624">
        <v>47928</v>
      </c>
      <c r="F120" s="400">
        <v>133437.10595147865</v>
      </c>
      <c r="G120" s="439">
        <v>776174.17083805799</v>
      </c>
      <c r="H120" s="886"/>
      <c r="I120" s="648">
        <v>-8.1197365647169579E-3</v>
      </c>
      <c r="J120" s="626">
        <v>4.1770395012227096E-2</v>
      </c>
      <c r="K120" s="627">
        <v>-2.412803127481522E-2</v>
      </c>
      <c r="L120" s="628">
        <v>2.9924003598842397E-3</v>
      </c>
      <c r="M120" s="629">
        <v>3.2313802000434988E-2</v>
      </c>
      <c r="O120" s="646">
        <v>2013</v>
      </c>
      <c r="P120" s="646">
        <f t="shared" si="97"/>
        <v>2013.3846153846155</v>
      </c>
    </row>
    <row r="121" spans="1:16" ht="14.25" x14ac:dyDescent="0.65">
      <c r="A121" s="891"/>
      <c r="B121" s="612" t="s">
        <v>19</v>
      </c>
      <c r="C121" s="647">
        <v>35270.866740609854</v>
      </c>
      <c r="D121" s="623">
        <v>45276.189877627912</v>
      </c>
      <c r="E121" s="624">
        <v>46438</v>
      </c>
      <c r="F121" s="400">
        <v>126985.05661823777</v>
      </c>
      <c r="G121" s="439">
        <v>903159.22745629575</v>
      </c>
      <c r="H121" s="886"/>
      <c r="I121" s="648">
        <v>7.1922882038280324E-3</v>
      </c>
      <c r="J121" s="626">
        <v>6.2497122418696462E-2</v>
      </c>
      <c r="K121" s="627">
        <v>1.6549187863928901E-2</v>
      </c>
      <c r="L121" s="628">
        <v>2.9769990578829342E-2</v>
      </c>
      <c r="M121" s="629">
        <v>3.195538063105241E-2</v>
      </c>
      <c r="O121" s="646">
        <v>2013</v>
      </c>
      <c r="P121" s="646">
        <f t="shared" si="97"/>
        <v>2013.4615384615386</v>
      </c>
    </row>
    <row r="122" spans="1:16" ht="14.25" x14ac:dyDescent="0.65">
      <c r="A122" s="891"/>
      <c r="B122" s="621" t="s">
        <v>20</v>
      </c>
      <c r="C122" s="647">
        <v>40374.267105126455</v>
      </c>
      <c r="D122" s="623">
        <v>46420.427353601655</v>
      </c>
      <c r="E122" s="624">
        <v>47179</v>
      </c>
      <c r="F122" s="400">
        <v>133973.6944587281</v>
      </c>
      <c r="G122" s="439">
        <v>1037132.9219150238</v>
      </c>
      <c r="H122" s="886"/>
      <c r="I122" s="648">
        <v>6.024861095395103E-2</v>
      </c>
      <c r="J122" s="626">
        <v>4.3601253425095104E-2</v>
      </c>
      <c r="K122" s="649">
        <v>1.3098842577680431E-2</v>
      </c>
      <c r="L122" s="650">
        <v>3.7510218064958689E-2</v>
      </c>
      <c r="M122" s="651">
        <v>3.266958988378188E-2</v>
      </c>
      <c r="O122" s="646">
        <v>2013</v>
      </c>
      <c r="P122" s="646">
        <f t="shared" si="97"/>
        <v>2013.5384615384617</v>
      </c>
    </row>
    <row r="123" spans="1:16" ht="14.25" x14ac:dyDescent="0.65">
      <c r="A123" s="891"/>
      <c r="B123" s="612" t="s">
        <v>211</v>
      </c>
      <c r="C123" s="647">
        <v>42472.023969770264</v>
      </c>
      <c r="D123" s="623">
        <v>43342</v>
      </c>
      <c r="E123" s="624">
        <v>46766</v>
      </c>
      <c r="F123" s="400">
        <v>132580.02396977026</v>
      </c>
      <c r="G123" s="439">
        <v>1169712.945884794</v>
      </c>
      <c r="H123" s="886"/>
      <c r="I123" s="648">
        <v>4.8847334661190886E-2</v>
      </c>
      <c r="J123" s="626">
        <v>-4.1233464584347214E-2</v>
      </c>
      <c r="K123" s="627">
        <v>1.7536988685813749E-2</v>
      </c>
      <c r="L123" s="628">
        <v>6.9878776376293139E-3</v>
      </c>
      <c r="M123" s="629">
        <v>2.9693086868847196E-2</v>
      </c>
      <c r="O123" s="646">
        <v>2013</v>
      </c>
      <c r="P123" s="646">
        <f t="shared" si="97"/>
        <v>2013.6153846153848</v>
      </c>
    </row>
    <row r="124" spans="1:16" ht="14.25" x14ac:dyDescent="0.65">
      <c r="A124" s="891"/>
      <c r="B124" s="621" t="s">
        <v>213</v>
      </c>
      <c r="C124" s="647">
        <v>41749.008322299123</v>
      </c>
      <c r="D124" s="623">
        <v>47052</v>
      </c>
      <c r="E124" s="624">
        <v>46704</v>
      </c>
      <c r="F124" s="400">
        <v>135505.00832229911</v>
      </c>
      <c r="G124" s="439">
        <v>1305217.954207093</v>
      </c>
      <c r="H124" s="886"/>
      <c r="I124" s="648">
        <v>1.9810648353586483E-2</v>
      </c>
      <c r="J124" s="626">
        <v>3.9386776822991451E-2</v>
      </c>
      <c r="K124" s="627">
        <v>3.4899953466728709E-2</v>
      </c>
      <c r="L124" s="628">
        <v>3.1743073660680299E-2</v>
      </c>
      <c r="M124" s="629">
        <v>2.9905533182804644E-2</v>
      </c>
      <c r="O124" s="646">
        <v>2013</v>
      </c>
      <c r="P124" s="646">
        <f t="shared" si="97"/>
        <v>2013.6923076923078</v>
      </c>
    </row>
    <row r="125" spans="1:16" ht="14.25" x14ac:dyDescent="0.65">
      <c r="A125" s="891"/>
      <c r="B125" s="612" t="s">
        <v>216</v>
      </c>
      <c r="C125" s="647">
        <v>40370.91955089409</v>
      </c>
      <c r="D125" s="623">
        <v>46729</v>
      </c>
      <c r="E125" s="624">
        <v>44895</v>
      </c>
      <c r="F125" s="400">
        <v>131994.91955089409</v>
      </c>
      <c r="G125" s="439">
        <v>1437212.8737579871</v>
      </c>
      <c r="H125" s="886"/>
      <c r="I125" s="648">
        <v>-1.9927449384407796E-6</v>
      </c>
      <c r="J125" s="626">
        <v>2.5140951670578945E-2</v>
      </c>
      <c r="K125" s="627">
        <v>2.9630988693438526E-2</v>
      </c>
      <c r="L125" s="628">
        <v>1.8817351057017984E-2</v>
      </c>
      <c r="M125" s="629">
        <v>2.8877129440049831E-2</v>
      </c>
      <c r="O125" s="646">
        <v>2013</v>
      </c>
      <c r="P125" s="646">
        <f t="shared" si="97"/>
        <v>2013.7692307692309</v>
      </c>
    </row>
    <row r="126" spans="1:16" ht="15" thickBot="1" x14ac:dyDescent="0.8">
      <c r="A126" s="892"/>
      <c r="B126" s="621" t="s">
        <v>217</v>
      </c>
      <c r="C126" s="647">
        <v>40251.689862017127</v>
      </c>
      <c r="D126" s="623">
        <v>47091</v>
      </c>
      <c r="E126" s="624">
        <v>42936</v>
      </c>
      <c r="F126" s="444">
        <v>130278.68986201713</v>
      </c>
      <c r="G126" s="439">
        <v>1567491.5636200041</v>
      </c>
      <c r="H126" s="886"/>
      <c r="I126" s="648">
        <v>3.1592041364902401E-2</v>
      </c>
      <c r="J126" s="626">
        <v>2.1208769761238696E-2</v>
      </c>
      <c r="K126" s="643">
        <v>1.0567938428225104E-2</v>
      </c>
      <c r="L126" s="644">
        <v>2.0840861172843672E-2</v>
      </c>
      <c r="M126" s="645">
        <v>2.8204394465260352E-2</v>
      </c>
      <c r="O126" s="646">
        <v>2013</v>
      </c>
      <c r="P126" s="646">
        <f t="shared" si="97"/>
        <v>2013.846153846154</v>
      </c>
    </row>
    <row r="127" spans="1:16" ht="15" thickBot="1" x14ac:dyDescent="0.8">
      <c r="A127" s="592" t="s">
        <v>220</v>
      </c>
      <c r="B127" s="425"/>
      <c r="C127" s="411">
        <v>39878.66219906458</v>
      </c>
      <c r="D127" s="411">
        <v>45466.801435935799</v>
      </c>
      <c r="E127" s="411">
        <v>45278.833333333336</v>
      </c>
      <c r="F127" s="412">
        <v>130624.29696833367</v>
      </c>
      <c r="G127" s="412"/>
      <c r="H127" s="887"/>
      <c r="I127" s="652">
        <v>2.5222103319989753E-2</v>
      </c>
      <c r="J127" s="652">
        <v>3.8279768517406332E-2</v>
      </c>
      <c r="K127" s="427">
        <v>2.087228058177093E-2</v>
      </c>
      <c r="L127" s="428"/>
      <c r="M127" s="427">
        <v>2.8204394465260352E-2</v>
      </c>
      <c r="P127" s="646">
        <f t="shared" si="97"/>
        <v>2013.9230769230771</v>
      </c>
    </row>
    <row r="128" spans="1:16" ht="14.25" x14ac:dyDescent="0.65">
      <c r="A128" s="883">
        <v>2014</v>
      </c>
      <c r="B128" s="612" t="s">
        <v>191</v>
      </c>
      <c r="C128" s="653">
        <v>39107.855064252552</v>
      </c>
      <c r="D128" s="654">
        <v>45437</v>
      </c>
      <c r="E128" s="655">
        <v>43038</v>
      </c>
      <c r="F128" s="656">
        <v>127582.85506425255</v>
      </c>
      <c r="G128" s="657">
        <v>127582.85506425255</v>
      </c>
      <c r="H128" s="885" t="s">
        <v>240</v>
      </c>
      <c r="I128" s="658">
        <v>1.7215186605955144E-2</v>
      </c>
      <c r="J128" s="659">
        <v>5.9606818870828575E-2</v>
      </c>
      <c r="K128" s="660">
        <v>4.0822249093107617E-2</v>
      </c>
      <c r="L128" s="661">
        <v>3.9990014951886366E-2</v>
      </c>
      <c r="M128" s="662">
        <v>3.9990014951886366E-2</v>
      </c>
      <c r="O128" s="663">
        <v>2014</v>
      </c>
      <c r="P128" s="646">
        <f t="shared" si="97"/>
        <v>2014.0000000000002</v>
      </c>
    </row>
    <row r="129" spans="1:16" ht="14.25" x14ac:dyDescent="0.65">
      <c r="A129" s="883"/>
      <c r="B129" s="621" t="s">
        <v>195</v>
      </c>
      <c r="C129" s="664">
        <v>40949</v>
      </c>
      <c r="D129" s="665">
        <v>46627</v>
      </c>
      <c r="E129" s="666">
        <v>45744</v>
      </c>
      <c r="F129" s="667">
        <v>133320</v>
      </c>
      <c r="G129" s="668">
        <v>260902.85506425257</v>
      </c>
      <c r="H129" s="886"/>
      <c r="I129" s="669">
        <v>1.9417959122706566E-2</v>
      </c>
      <c r="J129" s="670">
        <v>4.7986154814348647E-2</v>
      </c>
      <c r="K129" s="671">
        <v>4.0913848814454104E-2</v>
      </c>
      <c r="L129" s="672">
        <v>3.6646527793976924E-2</v>
      </c>
      <c r="M129" s="673">
        <v>3.8278820236276712E-2</v>
      </c>
      <c r="O129" s="663">
        <v>2014</v>
      </c>
      <c r="P129" s="646">
        <f t="shared" si="97"/>
        <v>2014.0769230769233</v>
      </c>
    </row>
    <row r="130" spans="1:16" ht="14.25" x14ac:dyDescent="0.65">
      <c r="A130" s="883"/>
      <c r="B130" s="612" t="s">
        <v>15</v>
      </c>
      <c r="C130" s="664">
        <v>40977</v>
      </c>
      <c r="D130" s="665">
        <v>46559</v>
      </c>
      <c r="E130" s="666">
        <v>45640</v>
      </c>
      <c r="F130" s="667">
        <v>133176</v>
      </c>
      <c r="G130" s="668">
        <v>394078.85506425257</v>
      </c>
      <c r="H130" s="886"/>
      <c r="I130" s="669">
        <v>6.2846916013902576E-2</v>
      </c>
      <c r="J130" s="670">
        <v>8.2264063226406323E-2</v>
      </c>
      <c r="K130" s="671">
        <v>4.9798734905117881E-2</v>
      </c>
      <c r="L130" s="672">
        <v>6.4990523714703929E-2</v>
      </c>
      <c r="M130" s="673">
        <v>4.7154661069458648E-2</v>
      </c>
      <c r="O130" s="663">
        <v>2014</v>
      </c>
      <c r="P130" s="646">
        <f t="shared" si="97"/>
        <v>2014.1538461538464</v>
      </c>
    </row>
    <row r="131" spans="1:16" ht="14.25" x14ac:dyDescent="0.65">
      <c r="A131" s="883"/>
      <c r="B131" s="621" t="s">
        <v>16</v>
      </c>
      <c r="C131" s="664">
        <v>39242</v>
      </c>
      <c r="D131" s="665">
        <v>46152</v>
      </c>
      <c r="E131" s="666">
        <v>45797</v>
      </c>
      <c r="F131" s="667">
        <v>131191</v>
      </c>
      <c r="G131" s="668">
        <v>525269.85506425262</v>
      </c>
      <c r="H131" s="886"/>
      <c r="I131" s="669">
        <v>-4.3484443589972097E-2</v>
      </c>
      <c r="J131" s="670">
        <v>1.991116218426112E-2</v>
      </c>
      <c r="K131" s="671">
        <v>1.6626709287870717E-2</v>
      </c>
      <c r="L131" s="672">
        <v>-1.0203119155832718E-3</v>
      </c>
      <c r="M131" s="673">
        <v>3.469237729220187E-2</v>
      </c>
      <c r="O131" s="663">
        <v>2014</v>
      </c>
      <c r="P131" s="646">
        <f t="shared" si="97"/>
        <v>2014.2307692307695</v>
      </c>
    </row>
    <row r="132" spans="1:16" ht="14.25" x14ac:dyDescent="0.65">
      <c r="A132" s="883"/>
      <c r="B132" s="612" t="s">
        <v>17</v>
      </c>
      <c r="C132" s="664">
        <v>41187</v>
      </c>
      <c r="D132" s="665">
        <v>49731</v>
      </c>
      <c r="E132" s="666">
        <v>49186</v>
      </c>
      <c r="F132" s="667">
        <v>140104</v>
      </c>
      <c r="G132" s="668">
        <v>665373.85506425262</v>
      </c>
      <c r="H132" s="886"/>
      <c r="I132" s="669">
        <v>-1.0833172757964383E-2</v>
      </c>
      <c r="J132" s="670">
        <v>6.3537211291702311E-2</v>
      </c>
      <c r="K132" s="671">
        <v>5.3662089501081811E-2</v>
      </c>
      <c r="L132" s="672">
        <v>3.7199896901622731E-2</v>
      </c>
      <c r="M132" s="673">
        <v>3.5219363273639503E-2</v>
      </c>
      <c r="O132" s="663">
        <v>2014</v>
      </c>
      <c r="P132" s="646">
        <f t="shared" si="97"/>
        <v>2014.3076923076926</v>
      </c>
    </row>
    <row r="133" spans="1:16" ht="14.25" x14ac:dyDescent="0.65">
      <c r="A133" s="883"/>
      <c r="B133" s="621" t="s">
        <v>18</v>
      </c>
      <c r="C133" s="664">
        <v>38352</v>
      </c>
      <c r="D133" s="665">
        <v>48225</v>
      </c>
      <c r="E133" s="666">
        <v>49375</v>
      </c>
      <c r="F133" s="667">
        <v>135952</v>
      </c>
      <c r="G133" s="668">
        <v>801325.85506425262</v>
      </c>
      <c r="H133" s="886"/>
      <c r="I133" s="669">
        <v>3.3984011421626797E-3</v>
      </c>
      <c r="J133" s="670">
        <v>1.9836318649946075E-2</v>
      </c>
      <c r="K133" s="671">
        <v>3.0191120013353362E-2</v>
      </c>
      <c r="L133" s="672">
        <v>1.8847036816249885E-2</v>
      </c>
      <c r="M133" s="673">
        <v>3.2404691074733316E-2</v>
      </c>
      <c r="O133" s="663">
        <v>2014</v>
      </c>
      <c r="P133" s="646">
        <f t="shared" si="97"/>
        <v>2014.3846153846157</v>
      </c>
    </row>
    <row r="134" spans="1:16" ht="14.25" x14ac:dyDescent="0.65">
      <c r="A134" s="883"/>
      <c r="B134" s="612" t="s">
        <v>19</v>
      </c>
      <c r="C134" s="664">
        <v>36809</v>
      </c>
      <c r="D134" s="665">
        <v>46148.967300339005</v>
      </c>
      <c r="E134" s="666">
        <v>47953</v>
      </c>
      <c r="F134" s="667">
        <v>130910.96730033901</v>
      </c>
      <c r="G134" s="668">
        <v>932236.82236459164</v>
      </c>
      <c r="H134" s="886"/>
      <c r="I134" s="669">
        <v>4.3609171010792994E-2</v>
      </c>
      <c r="J134" s="670">
        <v>1.9276741816615494E-2</v>
      </c>
      <c r="K134" s="671">
        <v>3.2624144019983634E-2</v>
      </c>
      <c r="L134" s="672">
        <v>3.0916320287228238E-2</v>
      </c>
      <c r="M134" s="673">
        <v>3.2195424709540399E-2</v>
      </c>
      <c r="O134" s="663">
        <v>2014</v>
      </c>
      <c r="P134" s="646">
        <f t="shared" si="97"/>
        <v>2014.4615384615388</v>
      </c>
    </row>
    <row r="135" spans="1:16" ht="14.25" x14ac:dyDescent="0.65">
      <c r="A135" s="883"/>
      <c r="B135" s="621" t="s">
        <v>20</v>
      </c>
      <c r="C135" s="664">
        <v>38081</v>
      </c>
      <c r="D135" s="665">
        <v>47806</v>
      </c>
      <c r="E135" s="666">
        <v>49296</v>
      </c>
      <c r="F135" s="667">
        <v>135183</v>
      </c>
      <c r="G135" s="668">
        <v>1067419.8223645915</v>
      </c>
      <c r="H135" s="886"/>
      <c r="I135" s="669">
        <v>-5.6800216314893091E-2</v>
      </c>
      <c r="J135" s="670">
        <v>2.9848338875554131E-2</v>
      </c>
      <c r="K135" s="671">
        <v>4.4871659000826639E-2</v>
      </c>
      <c r="L135" s="672">
        <v>9.0264401990081122E-3</v>
      </c>
      <c r="M135" s="673">
        <v>2.9202525355809028E-2</v>
      </c>
      <c r="O135" s="663">
        <v>2014</v>
      </c>
      <c r="P135" s="646">
        <f t="shared" si="97"/>
        <v>2014.5384615384619</v>
      </c>
    </row>
    <row r="136" spans="1:16" ht="14.25" x14ac:dyDescent="0.65">
      <c r="A136" s="883"/>
      <c r="B136" s="612" t="s">
        <v>211</v>
      </c>
      <c r="C136" s="664">
        <v>42177</v>
      </c>
      <c r="D136" s="665">
        <v>49515.339905179106</v>
      </c>
      <c r="E136" s="666">
        <v>48477</v>
      </c>
      <c r="F136" s="667">
        <v>140169.33990517911</v>
      </c>
      <c r="G136" s="668">
        <v>1207589.1622697706</v>
      </c>
      <c r="H136" s="886"/>
      <c r="I136" s="674">
        <v>-6.94631294190851E-3</v>
      </c>
      <c r="J136" s="670">
        <v>0.14243320347882205</v>
      </c>
      <c r="K136" s="671">
        <v>3.6586408929564211E-2</v>
      </c>
      <c r="L136" s="672">
        <v>5.724328377809984E-2</v>
      </c>
      <c r="M136" s="673">
        <v>3.2380778992170844E-2</v>
      </c>
      <c r="O136" s="663">
        <v>2014</v>
      </c>
      <c r="P136" s="646">
        <f t="shared" si="97"/>
        <v>2014.615384615385</v>
      </c>
    </row>
    <row r="137" spans="1:16" ht="14.25" x14ac:dyDescent="0.65">
      <c r="A137" s="883"/>
      <c r="B137" s="621" t="s">
        <v>213</v>
      </c>
      <c r="C137" s="664">
        <v>42413</v>
      </c>
      <c r="D137" s="665">
        <v>49716</v>
      </c>
      <c r="E137" s="666">
        <v>48109</v>
      </c>
      <c r="F137" s="667">
        <v>140238</v>
      </c>
      <c r="G137" s="668">
        <v>1347827.1622697706</v>
      </c>
      <c r="H137" s="886"/>
      <c r="I137" s="674">
        <v>1.5904370052934241E-2</v>
      </c>
      <c r="J137" s="670">
        <v>5.6618209640397855E-2</v>
      </c>
      <c r="K137" s="671">
        <v>3.0083076396026035E-2</v>
      </c>
      <c r="L137" s="672">
        <v>3.4928536858530368E-2</v>
      </c>
      <c r="M137" s="673">
        <v>3.264528190509175E-2</v>
      </c>
      <c r="O137" s="663">
        <v>2014</v>
      </c>
      <c r="P137" s="646">
        <f t="shared" si="97"/>
        <v>2014.6923076923081</v>
      </c>
    </row>
    <row r="138" spans="1:16" ht="14.25" x14ac:dyDescent="0.65">
      <c r="A138" s="883"/>
      <c r="B138" s="612" t="s">
        <v>216</v>
      </c>
      <c r="C138" s="664">
        <v>41325</v>
      </c>
      <c r="D138" s="665">
        <v>47521</v>
      </c>
      <c r="E138" s="666">
        <v>46984</v>
      </c>
      <c r="F138" s="667">
        <v>135830</v>
      </c>
      <c r="G138" s="668">
        <v>1483657.1622697706</v>
      </c>
      <c r="H138" s="886"/>
      <c r="I138" s="674">
        <v>2.3632863945621467E-2</v>
      </c>
      <c r="J138" s="670">
        <v>1.6948789830726101E-2</v>
      </c>
      <c r="K138" s="671">
        <v>4.6530794075064039E-2</v>
      </c>
      <c r="L138" s="672">
        <v>2.9054758032768024E-2</v>
      </c>
      <c r="M138" s="673">
        <v>3.23155249718452E-2</v>
      </c>
      <c r="O138" s="663">
        <v>2014</v>
      </c>
      <c r="P138" s="646">
        <f t="shared" si="97"/>
        <v>2014.7692307692312</v>
      </c>
    </row>
    <row r="139" spans="1:16" ht="15" thickBot="1" x14ac:dyDescent="0.8">
      <c r="A139" s="884"/>
      <c r="B139" s="621" t="s">
        <v>217</v>
      </c>
      <c r="C139" s="664">
        <v>39046</v>
      </c>
      <c r="D139" s="665">
        <v>48042</v>
      </c>
      <c r="E139" s="666">
        <v>43601</v>
      </c>
      <c r="F139" s="667">
        <v>130689</v>
      </c>
      <c r="G139" s="668">
        <v>1614346.1622697706</v>
      </c>
      <c r="H139" s="886"/>
      <c r="I139" s="675">
        <v>-2.9953770044195267E-2</v>
      </c>
      <c r="J139" s="676">
        <v>2.019494170860674E-2</v>
      </c>
      <c r="K139" s="677">
        <v>1.548816843674306E-2</v>
      </c>
      <c r="L139" s="678">
        <v>3.1494800755016428E-3</v>
      </c>
      <c r="M139" s="679">
        <v>2.9891451882241293E-2</v>
      </c>
      <c r="O139" s="663">
        <v>2014</v>
      </c>
      <c r="P139" s="646">
        <f t="shared" si="97"/>
        <v>2014.8461538461543</v>
      </c>
    </row>
    <row r="140" spans="1:16" ht="15" thickBot="1" x14ac:dyDescent="0.8">
      <c r="A140" s="592" t="s">
        <v>220</v>
      </c>
      <c r="B140" s="425"/>
      <c r="C140" s="680">
        <v>39972.154588687714</v>
      </c>
      <c r="D140" s="680">
        <v>47623.358933793177</v>
      </c>
      <c r="E140" s="680">
        <v>46933.333333333336</v>
      </c>
      <c r="F140" s="681">
        <v>134528.84685581422</v>
      </c>
      <c r="G140" s="681"/>
      <c r="H140" s="887"/>
      <c r="I140" s="682">
        <v>2.3444214140495578E-3</v>
      </c>
      <c r="J140" s="682">
        <v>4.7431475928563893E-2</v>
      </c>
      <c r="K140" s="683">
        <v>3.6540252435832699E-2</v>
      </c>
      <c r="L140" s="684"/>
      <c r="M140" s="685">
        <v>2.9891451882241293E-2</v>
      </c>
      <c r="O140" s="646"/>
      <c r="P140" s="646">
        <f t="shared" si="97"/>
        <v>2014.9230769230774</v>
      </c>
    </row>
    <row r="141" spans="1:16" ht="14.25" x14ac:dyDescent="0.65">
      <c r="A141" s="883">
        <v>2015</v>
      </c>
      <c r="B141" s="612" t="s">
        <v>191</v>
      </c>
      <c r="C141" s="664">
        <v>38668.516129032258</v>
      </c>
      <c r="D141" s="665">
        <v>46015.741935483871</v>
      </c>
      <c r="E141" s="666">
        <v>43100.096774193546</v>
      </c>
      <c r="F141" s="686">
        <v>127784.35483870967</v>
      </c>
      <c r="G141" s="687">
        <v>127784.35483870967</v>
      </c>
      <c r="H141" s="885" t="s">
        <v>241</v>
      </c>
      <c r="I141" s="658">
        <v>-1.1234033022227341E-2</v>
      </c>
      <c r="J141" s="659">
        <v>1.2737239154958981E-2</v>
      </c>
      <c r="K141" s="660">
        <v>1.4428359634171097E-3</v>
      </c>
      <c r="L141" s="661">
        <v>1.5793640482151261E-3</v>
      </c>
      <c r="M141" s="662">
        <v>1.5793640482151261E-3</v>
      </c>
      <c r="O141" s="646">
        <v>2015</v>
      </c>
      <c r="P141" s="646">
        <f t="shared" si="97"/>
        <v>2015.0000000000005</v>
      </c>
    </row>
    <row r="142" spans="1:16" ht="14.25" x14ac:dyDescent="0.65">
      <c r="A142" s="883"/>
      <c r="B142" s="621" t="s">
        <v>195</v>
      </c>
      <c r="C142" s="664">
        <v>40262.571428571428</v>
      </c>
      <c r="D142" s="665">
        <v>47010.821428571428</v>
      </c>
      <c r="E142" s="666">
        <v>44966.642857142855</v>
      </c>
      <c r="F142" s="667">
        <v>132240.03571428571</v>
      </c>
      <c r="G142" s="668">
        <v>260024.39055299538</v>
      </c>
      <c r="H142" s="886"/>
      <c r="I142" s="669">
        <v>-1.676301183004646E-2</v>
      </c>
      <c r="J142" s="670">
        <v>8.2317418785559336E-3</v>
      </c>
      <c r="K142" s="671">
        <v>-1.6993641632938636E-2</v>
      </c>
      <c r="L142" s="672">
        <v>-8.1005421970768987E-3</v>
      </c>
      <c r="M142" s="673">
        <v>-3.367017624398394E-3</v>
      </c>
      <c r="O142" s="646">
        <v>2015</v>
      </c>
      <c r="P142" s="646">
        <f t="shared" si="97"/>
        <v>2015.0769230769235</v>
      </c>
    </row>
    <row r="143" spans="1:16" ht="14.25" x14ac:dyDescent="0.65">
      <c r="A143" s="883"/>
      <c r="B143" s="612" t="s">
        <v>15</v>
      </c>
      <c r="C143" s="664">
        <v>41761.709677419356</v>
      </c>
      <c r="D143" s="665">
        <v>48792.290322580644</v>
      </c>
      <c r="E143" s="666">
        <v>46990.354838709674</v>
      </c>
      <c r="F143" s="667">
        <v>137544.35483870967</v>
      </c>
      <c r="G143" s="668">
        <v>397568.74539170507</v>
      </c>
      <c r="H143" s="886"/>
      <c r="I143" s="669">
        <v>1.9150003109533544E-2</v>
      </c>
      <c r="J143" s="670">
        <v>4.7966887660401726E-2</v>
      </c>
      <c r="K143" s="671">
        <v>2.9587091119843874E-2</v>
      </c>
      <c r="L143" s="672">
        <v>3.2801366903268292E-2</v>
      </c>
      <c r="M143" s="673">
        <v>8.8558172624702003E-3</v>
      </c>
      <c r="O143" s="646">
        <v>2015</v>
      </c>
      <c r="P143" s="646">
        <f t="shared" si="97"/>
        <v>2015.1538461538466</v>
      </c>
    </row>
    <row r="144" spans="1:16" ht="14.25" x14ac:dyDescent="0.65">
      <c r="A144" s="883"/>
      <c r="B144" s="621" t="s">
        <v>16</v>
      </c>
      <c r="C144" s="664">
        <v>39675.333333333336</v>
      </c>
      <c r="D144" s="665">
        <v>48000.333333333336</v>
      </c>
      <c r="E144" s="666">
        <v>47362.8</v>
      </c>
      <c r="F144" s="667">
        <v>135038.46666666667</v>
      </c>
      <c r="G144" s="668">
        <v>532607.21205837175</v>
      </c>
      <c r="H144" s="886"/>
      <c r="I144" s="669">
        <v>1.1042590421827016E-2</v>
      </c>
      <c r="J144" s="670">
        <v>4.0048824175189283E-2</v>
      </c>
      <c r="K144" s="671">
        <v>3.4190012446230163E-2</v>
      </c>
      <c r="L144" s="672">
        <v>2.9327215027453724E-2</v>
      </c>
      <c r="M144" s="673">
        <v>1.3968738017950066E-2</v>
      </c>
      <c r="O144" s="646">
        <v>2015</v>
      </c>
      <c r="P144" s="646">
        <f t="shared" si="97"/>
        <v>2015.2307692307697</v>
      </c>
    </row>
    <row r="145" spans="1:16" ht="14.25" x14ac:dyDescent="0.65">
      <c r="A145" s="883"/>
      <c r="B145" s="612" t="s">
        <v>17</v>
      </c>
      <c r="C145" s="664">
        <v>41099.93548387097</v>
      </c>
      <c r="D145" s="665">
        <v>51095.451612903227</v>
      </c>
      <c r="E145" s="666">
        <v>50494.870967741932</v>
      </c>
      <c r="F145" s="667">
        <v>142690.25806451612</v>
      </c>
      <c r="G145" s="668">
        <v>675297.47012288787</v>
      </c>
      <c r="H145" s="886"/>
      <c r="I145" s="669">
        <v>-2.1138834129465702E-3</v>
      </c>
      <c r="J145" s="670">
        <v>2.7436641388735944E-2</v>
      </c>
      <c r="K145" s="671">
        <v>2.6610640583538649E-2</v>
      </c>
      <c r="L145" s="672">
        <v>1.8459559074088583E-2</v>
      </c>
      <c r="M145" s="673">
        <v>1.4914344744845653E-2</v>
      </c>
      <c r="O145" s="646">
        <v>2015</v>
      </c>
      <c r="P145" s="646">
        <f t="shared" si="97"/>
        <v>2015.3076923076928</v>
      </c>
    </row>
    <row r="146" spans="1:16" ht="14.25" x14ac:dyDescent="0.65">
      <c r="A146" s="883"/>
      <c r="B146" s="621" t="s">
        <v>18</v>
      </c>
      <c r="C146" s="664">
        <v>41135.533333333333</v>
      </c>
      <c r="D146" s="665">
        <v>53010.863414897707</v>
      </c>
      <c r="E146" s="666">
        <v>52500.934550667378</v>
      </c>
      <c r="F146" s="667">
        <v>146647.33129889841</v>
      </c>
      <c r="G146" s="668">
        <v>821944.80142178631</v>
      </c>
      <c r="H146" s="886"/>
      <c r="I146" s="669">
        <v>7.257857043526629E-2</v>
      </c>
      <c r="J146" s="670">
        <v>9.9240298909231875E-2</v>
      </c>
      <c r="K146" s="671">
        <v>6.3310066848959554E-2</v>
      </c>
      <c r="L146" s="672">
        <v>7.8669907753460055E-2</v>
      </c>
      <c r="M146" s="673">
        <v>2.5731038412432516E-2</v>
      </c>
      <c r="O146" s="646">
        <v>2015</v>
      </c>
      <c r="P146" s="646">
        <f t="shared" si="97"/>
        <v>2015.3846153846159</v>
      </c>
    </row>
    <row r="147" spans="1:16" ht="14.25" x14ac:dyDescent="0.65">
      <c r="A147" s="883"/>
      <c r="B147" s="612" t="s">
        <v>19</v>
      </c>
      <c r="C147" s="664">
        <v>38286.548387096773</v>
      </c>
      <c r="D147" s="665">
        <v>50696.967741935485</v>
      </c>
      <c r="E147" s="666">
        <v>51577.40376508185</v>
      </c>
      <c r="F147" s="667">
        <v>140560.91989411411</v>
      </c>
      <c r="G147" s="668">
        <v>962505.72131590045</v>
      </c>
      <c r="H147" s="886"/>
      <c r="I147" s="669">
        <v>4.0140954307282803E-2</v>
      </c>
      <c r="J147" s="670">
        <v>9.8550427185031944E-2</v>
      </c>
      <c r="K147" s="671">
        <v>7.5582419558356095E-2</v>
      </c>
      <c r="L147" s="672">
        <v>7.3713859066032006E-2</v>
      </c>
      <c r="M147" s="673">
        <v>3.2469108948660397E-2</v>
      </c>
      <c r="O147" s="646">
        <v>2015</v>
      </c>
      <c r="P147" s="646">
        <f t="shared" si="97"/>
        <v>2015.461538461539</v>
      </c>
    </row>
    <row r="148" spans="1:16" ht="14.25" x14ac:dyDescent="0.65">
      <c r="A148" s="883"/>
      <c r="B148" s="621" t="s">
        <v>20</v>
      </c>
      <c r="C148" s="664">
        <v>40881.516129032258</v>
      </c>
      <c r="D148" s="665">
        <v>50425.161290322583</v>
      </c>
      <c r="E148" s="666">
        <v>53185.600009105947</v>
      </c>
      <c r="F148" s="667">
        <v>144492.2774284608</v>
      </c>
      <c r="G148" s="668">
        <v>1106997.9987443613</v>
      </c>
      <c r="H148" s="886"/>
      <c r="I148" s="669">
        <v>7.3541034348684586E-2</v>
      </c>
      <c r="J148" s="670">
        <v>5.4787292187645553E-2</v>
      </c>
      <c r="K148" s="671">
        <v>7.8902953771217685E-2</v>
      </c>
      <c r="L148" s="672">
        <v>6.886426124927536E-2</v>
      </c>
      <c r="M148" s="673">
        <v>3.707835993910491E-2</v>
      </c>
      <c r="O148" s="646">
        <v>2015</v>
      </c>
      <c r="P148" s="646">
        <f t="shared" si="97"/>
        <v>2015.5384615384621</v>
      </c>
    </row>
    <row r="149" spans="1:16" ht="14.25" x14ac:dyDescent="0.65">
      <c r="A149" s="883"/>
      <c r="B149" s="612" t="s">
        <v>211</v>
      </c>
      <c r="C149" s="664">
        <v>43724.866666666669</v>
      </c>
      <c r="D149" s="665">
        <v>52659.4</v>
      </c>
      <c r="E149" s="666">
        <v>52589.383127120971</v>
      </c>
      <c r="F149" s="667">
        <v>148973.64979378763</v>
      </c>
      <c r="G149" s="668">
        <v>1255971.648538149</v>
      </c>
      <c r="H149" s="886"/>
      <c r="I149" s="669">
        <v>3.6699306889220872E-2</v>
      </c>
      <c r="J149" s="670">
        <v>6.3496688114061395E-2</v>
      </c>
      <c r="K149" s="671">
        <v>8.4831634117642815E-2</v>
      </c>
      <c r="L149" s="672">
        <v>6.2811952275471983E-2</v>
      </c>
      <c r="M149" s="673">
        <v>4.0065353168157847E-2</v>
      </c>
      <c r="O149" s="646">
        <v>2015</v>
      </c>
      <c r="P149" s="646">
        <f t="shared" si="97"/>
        <v>2015.6153846153852</v>
      </c>
    </row>
    <row r="150" spans="1:16" ht="14.25" x14ac:dyDescent="0.65">
      <c r="A150" s="883"/>
      <c r="B150" s="621" t="s">
        <v>213</v>
      </c>
      <c r="C150" s="664">
        <v>43263.032258064515</v>
      </c>
      <c r="D150" s="665">
        <v>52673.774193548386</v>
      </c>
      <c r="E150" s="666">
        <v>50751.051533165461</v>
      </c>
      <c r="F150" s="667">
        <v>146687.85798477835</v>
      </c>
      <c r="G150" s="668">
        <v>1402659.5065229274</v>
      </c>
      <c r="H150" s="886"/>
      <c r="I150" s="669">
        <v>2.0041785727595671E-2</v>
      </c>
      <c r="J150" s="670">
        <v>5.9493406419430094E-2</v>
      </c>
      <c r="K150" s="671">
        <v>5.4918030579838711E-2</v>
      </c>
      <c r="L150" s="672">
        <v>4.5992227390424523E-2</v>
      </c>
      <c r="M150" s="673">
        <v>4.0682029408591225E-2</v>
      </c>
      <c r="O150" s="646">
        <v>2015</v>
      </c>
      <c r="P150" s="646">
        <f t="shared" si="97"/>
        <v>2015.6923076923083</v>
      </c>
    </row>
    <row r="151" spans="1:16" ht="14.25" x14ac:dyDescent="0.65">
      <c r="A151" s="883"/>
      <c r="B151" s="612" t="s">
        <v>216</v>
      </c>
      <c r="C151" s="664">
        <v>42575.933333333334</v>
      </c>
      <c r="D151" s="665">
        <v>51610.7</v>
      </c>
      <c r="E151" s="666">
        <v>49168.533333333333</v>
      </c>
      <c r="F151" s="667">
        <v>143355.16666666666</v>
      </c>
      <c r="G151" s="668">
        <v>1546014.6731895942</v>
      </c>
      <c r="H151" s="886"/>
      <c r="I151" s="669">
        <v>3.0270619076426721E-2</v>
      </c>
      <c r="J151" s="670">
        <v>8.6060899391847759E-2</v>
      </c>
      <c r="K151" s="671">
        <v>4.6495260798002147E-2</v>
      </c>
      <c r="L151" s="672">
        <v>5.5401359542565309E-2</v>
      </c>
      <c r="M151" s="673">
        <v>4.2029595856515778E-2</v>
      </c>
      <c r="O151" s="646">
        <v>2015</v>
      </c>
      <c r="P151" s="646">
        <f t="shared" si="97"/>
        <v>2015.7692307692314</v>
      </c>
    </row>
    <row r="152" spans="1:16" ht="15" thickBot="1" x14ac:dyDescent="0.8">
      <c r="A152" s="884"/>
      <c r="B152" s="621" t="s">
        <v>217</v>
      </c>
      <c r="C152" s="664">
        <v>40145.193548387098</v>
      </c>
      <c r="D152" s="665">
        <v>50708.06451612903</v>
      </c>
      <c r="E152" s="666">
        <v>45716.645161290326</v>
      </c>
      <c r="F152" s="667">
        <v>136569.90322580645</v>
      </c>
      <c r="G152" s="668">
        <v>1682584.5764154007</v>
      </c>
      <c r="H152" s="886"/>
      <c r="I152" s="688">
        <v>2.8151245924988435E-2</v>
      </c>
      <c r="J152" s="676">
        <v>5.5494453106220192E-2</v>
      </c>
      <c r="K152" s="677">
        <v>4.8522858679624907E-2</v>
      </c>
      <c r="L152" s="678">
        <v>4.4999221248968491E-2</v>
      </c>
      <c r="M152" s="679">
        <v>4.227000115618762E-2</v>
      </c>
      <c r="O152" s="50">
        <v>2015</v>
      </c>
      <c r="P152" s="646">
        <f t="shared" si="97"/>
        <v>2015.8461538461545</v>
      </c>
    </row>
    <row r="153" spans="1:16" ht="16.25" thickBot="1" x14ac:dyDescent="0.8">
      <c r="A153" s="888" t="s">
        <v>242</v>
      </c>
      <c r="B153" s="889"/>
      <c r="C153" s="411">
        <v>40955</v>
      </c>
      <c r="D153" s="411">
        <v>50225</v>
      </c>
      <c r="E153" s="411">
        <v>49035</v>
      </c>
      <c r="F153" s="411">
        <v>140215</v>
      </c>
      <c r="G153" s="689"/>
      <c r="H153" s="887"/>
      <c r="I153" s="426">
        <v>2.4588252032589519E-2</v>
      </c>
      <c r="J153" s="426">
        <v>5.4629516364514963E-2</v>
      </c>
      <c r="K153" s="427">
        <v>4.4779829545454453E-2</v>
      </c>
      <c r="L153" s="428"/>
      <c r="M153" s="427">
        <v>4.227000115618762E-2</v>
      </c>
      <c r="O153" s="663"/>
      <c r="P153" s="646">
        <f t="shared" si="97"/>
        <v>2015.9230769230776</v>
      </c>
    </row>
    <row r="154" spans="1:16" ht="14.25" x14ac:dyDescent="0.65">
      <c r="A154" s="883">
        <v>2016</v>
      </c>
      <c r="B154" s="612" t="s">
        <v>191</v>
      </c>
      <c r="C154" s="664">
        <v>39607.741935483871</v>
      </c>
      <c r="D154" s="665">
        <v>48576.645161290326</v>
      </c>
      <c r="E154" s="666">
        <v>45722.870967741932</v>
      </c>
      <c r="F154" s="686">
        <v>133907.25806451612</v>
      </c>
      <c r="G154" s="687">
        <v>133907.25806451612</v>
      </c>
      <c r="H154" s="885" t="s">
        <v>243</v>
      </c>
      <c r="I154" s="658">
        <v>2.4289160807658829E-2</v>
      </c>
      <c r="J154" s="659">
        <v>5.5652763991004543E-2</v>
      </c>
      <c r="K154" s="660">
        <v>6.0853092912746987E-2</v>
      </c>
      <c r="L154" s="661">
        <v>4.7915906712796108E-2</v>
      </c>
      <c r="M154" s="662">
        <v>4.7915906712796108E-2</v>
      </c>
      <c r="O154" s="663">
        <v>2016</v>
      </c>
      <c r="P154" s="646">
        <f t="shared" si="97"/>
        <v>2016.0000000000007</v>
      </c>
    </row>
    <row r="155" spans="1:16" ht="14.25" x14ac:dyDescent="0.65">
      <c r="A155" s="883"/>
      <c r="B155" s="621" t="s">
        <v>195</v>
      </c>
      <c r="C155" s="664">
        <v>42175</v>
      </c>
      <c r="D155" s="665">
        <v>50786.758620689652</v>
      </c>
      <c r="E155" s="666">
        <v>48931.65517241379</v>
      </c>
      <c r="F155" s="667">
        <v>141893.41379310345</v>
      </c>
      <c r="G155" s="668">
        <v>275800.67185761954</v>
      </c>
      <c r="H155" s="886"/>
      <c r="I155" s="669">
        <v>4.7498917818037341E-2</v>
      </c>
      <c r="J155" s="670">
        <v>8.032059592609779E-2</v>
      </c>
      <c r="K155" s="671">
        <v>8.8176747547456746E-2</v>
      </c>
      <c r="L155" s="672">
        <v>7.2998907075876529E-2</v>
      </c>
      <c r="M155" s="673">
        <v>6.0672313359037888E-2</v>
      </c>
      <c r="O155" s="663">
        <v>2016</v>
      </c>
      <c r="P155" s="646">
        <f t="shared" si="97"/>
        <v>2016.0769230769238</v>
      </c>
    </row>
    <row r="156" spans="1:16" ht="14.25" x14ac:dyDescent="0.65">
      <c r="A156" s="883"/>
      <c r="B156" s="612" t="s">
        <v>15</v>
      </c>
      <c r="C156" s="664">
        <v>41617.387096774197</v>
      </c>
      <c r="D156" s="665">
        <v>50753.290322580644</v>
      </c>
      <c r="E156" s="666">
        <v>49804.483870967742</v>
      </c>
      <c r="F156" s="667">
        <v>142175.16129032261</v>
      </c>
      <c r="G156" s="668">
        <v>417975.83314794215</v>
      </c>
      <c r="H156" s="886"/>
      <c r="I156" s="669">
        <v>-3.4558590096035913E-3</v>
      </c>
      <c r="J156" s="670">
        <v>4.0190775776976932E-2</v>
      </c>
      <c r="K156" s="671">
        <v>5.9887375652244432E-2</v>
      </c>
      <c r="L156" s="672">
        <v>3.3667731816716229E-2</v>
      </c>
      <c r="M156" s="673">
        <v>5.1329708365608573E-2</v>
      </c>
      <c r="O156" s="663">
        <v>2016</v>
      </c>
      <c r="P156" s="646">
        <f t="shared" si="97"/>
        <v>2016.1538461538469</v>
      </c>
    </row>
    <row r="157" spans="1:16" ht="14.25" x14ac:dyDescent="0.65">
      <c r="A157" s="883"/>
      <c r="B157" s="621" t="s">
        <v>16</v>
      </c>
      <c r="C157" s="690">
        <v>44601.033333333333</v>
      </c>
      <c r="D157" s="691">
        <v>54324.1</v>
      </c>
      <c r="E157" s="692">
        <v>53576.4</v>
      </c>
      <c r="F157" s="693">
        <v>152501.53333333333</v>
      </c>
      <c r="G157" s="694">
        <v>570477.36648127553</v>
      </c>
      <c r="H157" s="886"/>
      <c r="I157" s="695">
        <v>0.12415018567371827</v>
      </c>
      <c r="J157" s="696">
        <v>0.13174422399844438</v>
      </c>
      <c r="K157" s="697">
        <v>0.13119156806607712</v>
      </c>
      <c r="L157" s="698">
        <v>0.12931920139298558</v>
      </c>
      <c r="M157" s="699">
        <v>7.1103345139745144E-2</v>
      </c>
      <c r="O157" s="663">
        <v>2016</v>
      </c>
      <c r="P157" s="646">
        <f t="shared" si="97"/>
        <v>2016.23076923077</v>
      </c>
    </row>
    <row r="158" spans="1:16" ht="14.25" x14ac:dyDescent="0.65">
      <c r="A158" s="883"/>
      <c r="B158" s="612" t="s">
        <v>17</v>
      </c>
      <c r="C158" s="664">
        <v>43616.903225806454</v>
      </c>
      <c r="D158" s="665">
        <v>55362.290322580644</v>
      </c>
      <c r="E158" s="666">
        <v>54595.272050195585</v>
      </c>
      <c r="F158" s="667">
        <v>153574.46559858267</v>
      </c>
      <c r="G158" s="668">
        <v>724051.83207985817</v>
      </c>
      <c r="H158" s="886"/>
      <c r="I158" s="669">
        <v>6.1240187175554801E-2</v>
      </c>
      <c r="J158" s="670">
        <v>8.3507211992229546E-2</v>
      </c>
      <c r="K158" s="671">
        <v>8.1204308553895432E-2</v>
      </c>
      <c r="L158" s="672">
        <v>7.627856086114404E-2</v>
      </c>
      <c r="M158" s="673">
        <v>7.2196867475452287E-2</v>
      </c>
      <c r="O158" s="663">
        <v>2016</v>
      </c>
      <c r="P158" s="646">
        <f t="shared" si="97"/>
        <v>2016.3076923076931</v>
      </c>
    </row>
    <row r="159" spans="1:16" ht="14.25" x14ac:dyDescent="0.65">
      <c r="A159" s="883"/>
      <c r="B159" s="621" t="s">
        <v>18</v>
      </c>
      <c r="C159" s="690">
        <v>42355.76666666667</v>
      </c>
      <c r="D159" s="691">
        <v>55511.8</v>
      </c>
      <c r="E159" s="692">
        <v>55002.5</v>
      </c>
      <c r="F159" s="693">
        <v>152870.06666666668</v>
      </c>
      <c r="G159" s="694">
        <v>876921.89874652482</v>
      </c>
      <c r="H159" s="886"/>
      <c r="I159" s="695">
        <v>2.9663729492588012E-2</v>
      </c>
      <c r="J159" s="696">
        <v>4.7177812697150948E-2</v>
      </c>
      <c r="K159" s="697">
        <v>4.7648017520877113E-2</v>
      </c>
      <c r="L159" s="698">
        <v>4.2433335217570534E-2</v>
      </c>
      <c r="M159" s="699">
        <v>6.6886605073284811E-2</v>
      </c>
      <c r="O159" s="663">
        <v>2016</v>
      </c>
      <c r="P159" s="646">
        <f t="shared" si="97"/>
        <v>2016.3846153846162</v>
      </c>
    </row>
    <row r="160" spans="1:16" ht="14.25" x14ac:dyDescent="0.65">
      <c r="A160" s="883"/>
      <c r="B160" s="612" t="s">
        <v>19</v>
      </c>
      <c r="C160" s="690">
        <v>39043.387096774197</v>
      </c>
      <c r="D160" s="691">
        <v>52469.774193548386</v>
      </c>
      <c r="E160" s="692">
        <v>54030.93548387097</v>
      </c>
      <c r="F160" s="693">
        <v>145544.09677419355</v>
      </c>
      <c r="G160" s="694">
        <v>1022465.9955207184</v>
      </c>
      <c r="H160" s="886"/>
      <c r="I160" s="695">
        <v>1.97677445881356E-2</v>
      </c>
      <c r="J160" s="696">
        <v>3.4968688080854834E-2</v>
      </c>
      <c r="K160" s="697">
        <v>4.7569895723409257E-2</v>
      </c>
      <c r="L160" s="698">
        <v>3.5452079310759332E-2</v>
      </c>
      <c r="M160" s="699">
        <v>6.2296018482718818E-2</v>
      </c>
      <c r="O160" s="663">
        <v>2016</v>
      </c>
      <c r="P160" s="646">
        <f t="shared" si="97"/>
        <v>2016.4615384615392</v>
      </c>
    </row>
    <row r="161" spans="1:16" ht="14.25" x14ac:dyDescent="0.65">
      <c r="A161" s="883"/>
      <c r="B161" s="621" t="s">
        <v>20</v>
      </c>
      <c r="C161" s="690">
        <v>44200.096774193546</v>
      </c>
      <c r="D161" s="691">
        <v>56313.548387096773</v>
      </c>
      <c r="E161" s="692">
        <v>57270.741935483871</v>
      </c>
      <c r="F161" s="693">
        <v>157784.38709677418</v>
      </c>
      <c r="G161" s="694">
        <v>1180250.3826174927</v>
      </c>
      <c r="H161" s="886"/>
      <c r="I161" s="695">
        <v>8.1175576627026749E-2</v>
      </c>
      <c r="J161" s="696">
        <v>0.11677477961591107</v>
      </c>
      <c r="K161" s="697">
        <v>7.6809172514336665E-2</v>
      </c>
      <c r="L161" s="698">
        <v>9.1991834476374823E-2</v>
      </c>
      <c r="M161" s="699">
        <v>6.6172101445729492E-2</v>
      </c>
      <c r="O161" s="663">
        <v>2016</v>
      </c>
      <c r="P161" s="646">
        <f t="shared" si="97"/>
        <v>2016.5384615384623</v>
      </c>
    </row>
    <row r="162" spans="1:16" ht="14.25" x14ac:dyDescent="0.65">
      <c r="A162" s="883"/>
      <c r="B162" s="612" t="s">
        <v>211</v>
      </c>
      <c r="C162" s="664">
        <v>46498.1</v>
      </c>
      <c r="D162" s="665">
        <v>57810.833333333336</v>
      </c>
      <c r="E162" s="666">
        <v>56692.76666666667</v>
      </c>
      <c r="F162" s="667">
        <v>161001.70000000001</v>
      </c>
      <c r="G162" s="668">
        <v>1341252.0826174926</v>
      </c>
      <c r="H162" s="886"/>
      <c r="I162" s="669">
        <v>6.3424626413955063E-2</v>
      </c>
      <c r="J162" s="670">
        <v>9.7825522762001349E-2</v>
      </c>
      <c r="K162" s="671">
        <v>7.8026842977542657E-2</v>
      </c>
      <c r="L162" s="672">
        <v>8.0739447700058697E-2</v>
      </c>
      <c r="M162" s="673">
        <v>6.7899967470287592E-2</v>
      </c>
      <c r="O162" s="663">
        <v>2016</v>
      </c>
      <c r="P162" s="646">
        <f t="shared" si="97"/>
        <v>2016.6153846153854</v>
      </c>
    </row>
    <row r="163" spans="1:16" ht="14.25" x14ac:dyDescent="0.65">
      <c r="A163" s="883"/>
      <c r="B163" s="621" t="s">
        <v>213</v>
      </c>
      <c r="C163" s="664">
        <v>44845.129032258068</v>
      </c>
      <c r="D163" s="665">
        <v>54877.838709677417</v>
      </c>
      <c r="E163" s="666">
        <v>53297.93548387097</v>
      </c>
      <c r="F163" s="667">
        <v>153020.90322580645</v>
      </c>
      <c r="G163" s="668">
        <v>1494272.9858432992</v>
      </c>
      <c r="H163" s="886"/>
      <c r="I163" s="669">
        <v>3.6569253046257286E-2</v>
      </c>
      <c r="J163" s="670">
        <v>4.1843679323798857E-2</v>
      </c>
      <c r="K163" s="671">
        <v>5.018386562968332E-2</v>
      </c>
      <c r="L163" s="672">
        <v>4.3173615921811903E-2</v>
      </c>
      <c r="M163" s="673">
        <v>6.5314125697884862E-2</v>
      </c>
      <c r="O163" s="663">
        <v>2016</v>
      </c>
      <c r="P163" s="646">
        <f t="shared" si="97"/>
        <v>2016.6923076923085</v>
      </c>
    </row>
    <row r="164" spans="1:16" ht="14.25" x14ac:dyDescent="0.65">
      <c r="A164" s="883"/>
      <c r="B164" s="612" t="s">
        <v>216</v>
      </c>
      <c r="C164" s="664">
        <v>45747.76666666667</v>
      </c>
      <c r="D164" s="665">
        <v>57078.166666666664</v>
      </c>
      <c r="E164" s="666">
        <v>53268.533333333333</v>
      </c>
      <c r="F164" s="667">
        <v>156094.46666666667</v>
      </c>
      <c r="G164" s="668">
        <v>1650367.4525099657</v>
      </c>
      <c r="H164" s="886"/>
      <c r="I164" s="669">
        <v>7.4498268975117451E-2</v>
      </c>
      <c r="J164" s="670">
        <v>0.10593668883907149</v>
      </c>
      <c r="K164" s="671">
        <v>8.3386664641884781E-2</v>
      </c>
      <c r="L164" s="672">
        <v>8.886530075069965E-2</v>
      </c>
      <c r="M164" s="673">
        <v>6.7497922969308233E-2</v>
      </c>
      <c r="O164" s="663">
        <v>2016</v>
      </c>
      <c r="P164" s="646">
        <f t="shared" si="97"/>
        <v>2016.7692307692316</v>
      </c>
    </row>
    <row r="165" spans="1:16" ht="15" thickBot="1" x14ac:dyDescent="0.8">
      <c r="A165" s="884"/>
      <c r="B165" s="621" t="s">
        <v>217</v>
      </c>
      <c r="C165" s="664">
        <v>45044.129032258068</v>
      </c>
      <c r="D165" s="665">
        <v>56658.225806451614</v>
      </c>
      <c r="E165" s="666">
        <v>51741.354838709674</v>
      </c>
      <c r="F165" s="667">
        <v>153443.70967741936</v>
      </c>
      <c r="G165" s="668">
        <v>1803811.1621873851</v>
      </c>
      <c r="H165" s="886"/>
      <c r="I165" s="688">
        <v>0.12203043629535054</v>
      </c>
      <c r="J165" s="676">
        <v>0.11734151849613543</v>
      </c>
      <c r="K165" s="677">
        <v>0.13178372245303455</v>
      </c>
      <c r="L165" s="678">
        <v>0.12355435607004517</v>
      </c>
      <c r="M165" s="679">
        <v>7.2047840846281241E-2</v>
      </c>
      <c r="O165" s="663">
        <v>2016</v>
      </c>
      <c r="P165" s="646">
        <f t="shared" si="97"/>
        <v>2016.8461538461547</v>
      </c>
    </row>
    <row r="166" spans="1:16" ht="16.25" thickBot="1" x14ac:dyDescent="0.8">
      <c r="A166" s="888" t="s">
        <v>242</v>
      </c>
      <c r="B166" s="889"/>
      <c r="C166" s="411">
        <v>43300</v>
      </c>
      <c r="D166" s="411">
        <v>54200</v>
      </c>
      <c r="E166" s="411">
        <v>52800</v>
      </c>
      <c r="F166" s="411">
        <v>150300</v>
      </c>
      <c r="G166" s="700"/>
      <c r="H166" s="887"/>
      <c r="I166" s="426">
        <v>5.7257966060310084E-2</v>
      </c>
      <c r="J166" s="426">
        <v>7.9143852663016379E-2</v>
      </c>
      <c r="K166" s="427">
        <v>7.6781890486387283E-2</v>
      </c>
      <c r="L166" s="428"/>
      <c r="M166" s="427">
        <v>7.2047840846281241E-2</v>
      </c>
      <c r="P166" s="646">
        <f t="shared" si="97"/>
        <v>2016.9230769230778</v>
      </c>
    </row>
    <row r="167" spans="1:16" ht="14.25" x14ac:dyDescent="0.65">
      <c r="A167" s="883">
        <v>2017</v>
      </c>
      <c r="B167" s="612" t="s">
        <v>191</v>
      </c>
      <c r="C167" s="664">
        <v>43322.645161290326</v>
      </c>
      <c r="D167" s="665">
        <v>53340.451612903227</v>
      </c>
      <c r="E167" s="666">
        <v>49643.838709677417</v>
      </c>
      <c r="F167" s="686">
        <v>146306.93548387097</v>
      </c>
      <c r="G167" s="687">
        <v>146306.93548387097</v>
      </c>
      <c r="H167" s="885" t="s">
        <v>244</v>
      </c>
      <c r="I167" s="658">
        <v>9.3792350794891913E-2</v>
      </c>
      <c r="J167" s="659">
        <v>9.8067835598681388E-2</v>
      </c>
      <c r="K167" s="660">
        <v>8.5755064346282578E-2</v>
      </c>
      <c r="L167" s="661">
        <v>9.2598994248547228E-2</v>
      </c>
      <c r="M167" s="662">
        <v>9.2598994248547228E-2</v>
      </c>
      <c r="O167" s="663">
        <v>2017</v>
      </c>
      <c r="P167" s="646">
        <f t="shared" si="97"/>
        <v>2017.0000000000009</v>
      </c>
    </row>
    <row r="168" spans="1:16" ht="14.25" x14ac:dyDescent="0.65">
      <c r="A168" s="883"/>
      <c r="B168" s="621" t="s">
        <v>195</v>
      </c>
      <c r="C168" s="664">
        <v>44620.678571428572</v>
      </c>
      <c r="D168" s="665">
        <v>54880.107142857145</v>
      </c>
      <c r="E168" s="666">
        <v>51641.499946411874</v>
      </c>
      <c r="F168" s="667">
        <v>151142.28566069758</v>
      </c>
      <c r="G168" s="668">
        <v>297449.22114456852</v>
      </c>
      <c r="H168" s="886"/>
      <c r="I168" s="669">
        <v>5.798882208485056E-2</v>
      </c>
      <c r="J168" s="670">
        <v>8.059873544479236E-2</v>
      </c>
      <c r="K168" s="671">
        <v>5.5380198451284224E-2</v>
      </c>
      <c r="L168" s="672">
        <v>6.5181826417116451E-2</v>
      </c>
      <c r="M168" s="673">
        <v>7.8493461024362166E-2</v>
      </c>
      <c r="O168" s="663">
        <v>2017</v>
      </c>
      <c r="P168" s="646">
        <f t="shared" si="97"/>
        <v>2017.076923076924</v>
      </c>
    </row>
    <row r="169" spans="1:16" ht="14.25" x14ac:dyDescent="0.65">
      <c r="A169" s="883"/>
      <c r="B169" s="612" t="s">
        <v>15</v>
      </c>
      <c r="C169" s="664">
        <v>47551.225806451614</v>
      </c>
      <c r="D169" s="665">
        <v>59029.903225806454</v>
      </c>
      <c r="E169" s="666">
        <v>56354.548387096773</v>
      </c>
      <c r="F169" s="667">
        <v>162935.67741935485</v>
      </c>
      <c r="G169" s="668">
        <v>460384.89856392337</v>
      </c>
      <c r="H169" s="886"/>
      <c r="I169" s="669">
        <v>0.14258076067772535</v>
      </c>
      <c r="J169" s="670">
        <v>0.16307539571564414</v>
      </c>
      <c r="K169" s="671">
        <v>0.13151555858100608</v>
      </c>
      <c r="L169" s="672">
        <v>0.14602069686869656</v>
      </c>
      <c r="M169" s="673">
        <v>0.10146296042185421</v>
      </c>
      <c r="O169" s="663">
        <v>2017</v>
      </c>
      <c r="P169" s="646">
        <f t="shared" si="97"/>
        <v>2017.1538461538471</v>
      </c>
    </row>
    <row r="170" spans="1:16" ht="14.25" x14ac:dyDescent="0.65">
      <c r="A170" s="883"/>
      <c r="B170" s="621" t="s">
        <v>16</v>
      </c>
      <c r="C170" s="664">
        <v>42659.833333333336</v>
      </c>
      <c r="D170" s="665">
        <v>54475.633333333331</v>
      </c>
      <c r="E170" s="666">
        <v>63080.616666666669</v>
      </c>
      <c r="F170" s="667">
        <v>160216.08333333334</v>
      </c>
      <c r="G170" s="668">
        <v>620600.98189725669</v>
      </c>
      <c r="H170" s="886"/>
      <c r="I170" s="669">
        <v>-4.3523655281529287E-2</v>
      </c>
      <c r="J170" s="670">
        <v>2.7894310873688264E-3</v>
      </c>
      <c r="K170" s="671">
        <v>0.17739558213442239</v>
      </c>
      <c r="L170" s="672">
        <v>5.0586704483408518E-2</v>
      </c>
      <c r="M170" s="673">
        <v>8.7862583795647042E-2</v>
      </c>
      <c r="O170" s="663">
        <v>2017</v>
      </c>
      <c r="P170" s="646">
        <f t="shared" si="97"/>
        <v>2017.2307692307702</v>
      </c>
    </row>
    <row r="171" spans="1:16" ht="14.25" x14ac:dyDescent="0.65">
      <c r="A171" s="883"/>
      <c r="B171" s="612" t="s">
        <v>17</v>
      </c>
      <c r="C171" s="664">
        <v>46689</v>
      </c>
      <c r="D171" s="665">
        <v>61210.482180166997</v>
      </c>
      <c r="E171" s="666">
        <v>58165.885569130776</v>
      </c>
      <c r="F171" s="667">
        <v>166065.36774929776</v>
      </c>
      <c r="G171" s="668">
        <v>786666.34964655444</v>
      </c>
      <c r="H171" s="886"/>
      <c r="I171" s="669">
        <v>7.0433628868358161E-2</v>
      </c>
      <c r="J171" s="670">
        <v>0.10563493351721123</v>
      </c>
      <c r="K171" s="671">
        <v>6.5401515275028285E-2</v>
      </c>
      <c r="L171" s="672">
        <v>8.1334498557619428E-2</v>
      </c>
      <c r="M171" s="673">
        <v>8.647794921923535E-2</v>
      </c>
      <c r="O171" s="663">
        <v>2017</v>
      </c>
      <c r="P171" s="646">
        <f t="shared" si="97"/>
        <v>2017.3076923076933</v>
      </c>
    </row>
    <row r="172" spans="1:16" ht="14.25" x14ac:dyDescent="0.65">
      <c r="A172" s="883"/>
      <c r="B172" s="621" t="s">
        <v>18</v>
      </c>
      <c r="C172" s="664">
        <v>46568.26666666667</v>
      </c>
      <c r="D172" s="665">
        <v>62428.354623662672</v>
      </c>
      <c r="E172" s="666">
        <v>59982.778287697103</v>
      </c>
      <c r="F172" s="667">
        <v>168979.39957802644</v>
      </c>
      <c r="G172" s="668">
        <v>955645.74922458082</v>
      </c>
      <c r="H172" s="886"/>
      <c r="I172" s="669">
        <v>9.9455170606442406E-2</v>
      </c>
      <c r="J172" s="670">
        <v>0.12459611512620143</v>
      </c>
      <c r="K172" s="671">
        <v>9.0546398576375683E-2</v>
      </c>
      <c r="L172" s="672">
        <v>0.10537924959819756</v>
      </c>
      <c r="M172" s="673">
        <v>8.9772932561707153E-2</v>
      </c>
      <c r="O172" s="663">
        <v>2017</v>
      </c>
      <c r="P172" s="646">
        <f t="shared" si="97"/>
        <v>2017.3846153846164</v>
      </c>
    </row>
    <row r="173" spans="1:16" ht="14.25" x14ac:dyDescent="0.65">
      <c r="A173" s="883"/>
      <c r="B173" s="612" t="s">
        <v>19</v>
      </c>
      <c r="C173" s="664">
        <v>41982.516129032258</v>
      </c>
      <c r="D173" s="665">
        <v>59796.509359393349</v>
      </c>
      <c r="E173" s="666">
        <v>57596.083340171128</v>
      </c>
      <c r="F173" s="667">
        <v>159375.10882859671</v>
      </c>
      <c r="G173" s="668">
        <v>1115020.8580531776</v>
      </c>
      <c r="H173" s="886"/>
      <c r="I173" s="669">
        <v>7.5278536285108694E-2</v>
      </c>
      <c r="J173" s="670">
        <v>0.13963725360849463</v>
      </c>
      <c r="K173" s="671">
        <v>6.5983456040001512E-2</v>
      </c>
      <c r="L173" s="672">
        <v>9.502970138226563E-2</v>
      </c>
      <c r="M173" s="673">
        <v>9.0521213358614627E-2</v>
      </c>
      <c r="O173" s="663">
        <v>2017</v>
      </c>
      <c r="P173" s="646">
        <f t="shared" si="97"/>
        <v>2017.4615384615395</v>
      </c>
    </row>
    <row r="174" spans="1:16" ht="14.25" x14ac:dyDescent="0.65">
      <c r="A174" s="883"/>
      <c r="B174" s="621" t="s">
        <v>20</v>
      </c>
      <c r="C174" s="664">
        <v>45948.580645161288</v>
      </c>
      <c r="D174" s="665">
        <v>62799.193548387098</v>
      </c>
      <c r="E174" s="666">
        <v>59244.419354838712</v>
      </c>
      <c r="F174" s="667">
        <v>167992.19354838709</v>
      </c>
      <c r="G174" s="668">
        <v>1283013.0516015647</v>
      </c>
      <c r="H174" s="886"/>
      <c r="I174" s="669">
        <v>3.9558372007651436E-2</v>
      </c>
      <c r="J174" s="670">
        <v>0.11517024494191513</v>
      </c>
      <c r="K174" s="671">
        <v>3.4462228926215248E-2</v>
      </c>
      <c r="L174" s="672">
        <v>6.4694654771844773E-2</v>
      </c>
      <c r="M174" s="673">
        <v>8.7068532658443942E-2</v>
      </c>
      <c r="O174" s="663">
        <v>2017</v>
      </c>
      <c r="P174" s="646">
        <f t="shared" si="97"/>
        <v>2017.5384615384626</v>
      </c>
    </row>
    <row r="175" spans="1:16" ht="14.25" x14ac:dyDescent="0.65">
      <c r="A175" s="883"/>
      <c r="B175" s="612" t="s">
        <v>211</v>
      </c>
      <c r="C175" s="664">
        <v>47964.666666666664</v>
      </c>
      <c r="D175" s="665">
        <v>65386.366666666669</v>
      </c>
      <c r="E175" s="666">
        <v>59174.8</v>
      </c>
      <c r="F175" s="667">
        <v>172525.83333333331</v>
      </c>
      <c r="G175" s="668">
        <v>1455538.884934898</v>
      </c>
      <c r="H175" s="886"/>
      <c r="I175" s="669">
        <v>3.1540356846122011E-2</v>
      </c>
      <c r="J175" s="670">
        <v>0.13104002998284633</v>
      </c>
      <c r="K175" s="671">
        <v>4.3780423487299665E-2</v>
      </c>
      <c r="L175" s="672">
        <v>7.1577712119395676E-2</v>
      </c>
      <c r="M175" s="673">
        <v>8.5209039969855072E-2</v>
      </c>
      <c r="O175" s="663">
        <v>2017</v>
      </c>
      <c r="P175" s="646">
        <f t="shared" si="97"/>
        <v>2017.6153846153857</v>
      </c>
    </row>
    <row r="176" spans="1:16" ht="14.25" x14ac:dyDescent="0.65">
      <c r="A176" s="883"/>
      <c r="B176" s="621" t="s">
        <v>213</v>
      </c>
      <c r="C176" s="664">
        <v>47530.290322580644</v>
      </c>
      <c r="D176" s="665">
        <v>62012.258064516129</v>
      </c>
      <c r="E176" s="666">
        <v>57318.258064516129</v>
      </c>
      <c r="F176" s="667">
        <v>166860.80645161291</v>
      </c>
      <c r="G176" s="668">
        <v>1622399.6913865109</v>
      </c>
      <c r="H176" s="886"/>
      <c r="I176" s="669">
        <v>5.9876319864997633E-2</v>
      </c>
      <c r="J176" s="670">
        <v>0.13000547256575165</v>
      </c>
      <c r="K176" s="671">
        <v>7.5431112746605161E-2</v>
      </c>
      <c r="L176" s="672">
        <v>9.044452708126749E-2</v>
      </c>
      <c r="M176" s="673">
        <v>8.5745179600434707E-2</v>
      </c>
      <c r="O176" s="663">
        <v>2017</v>
      </c>
      <c r="P176" s="646">
        <f t="shared" si="97"/>
        <v>2017.6923076923088</v>
      </c>
    </row>
    <row r="177" spans="1:16" ht="14.25" x14ac:dyDescent="0.65">
      <c r="A177" s="883"/>
      <c r="B177" s="612" t="s">
        <v>216</v>
      </c>
      <c r="C177" s="664">
        <v>47185.666666666664</v>
      </c>
      <c r="D177" s="665">
        <v>62238.633333333331</v>
      </c>
      <c r="E177" s="666">
        <v>55233</v>
      </c>
      <c r="F177" s="667">
        <v>164657.29999999999</v>
      </c>
      <c r="G177" s="668">
        <v>1787056.9913865109</v>
      </c>
      <c r="H177" s="886"/>
      <c r="I177" s="669">
        <v>3.1431042535409612E-2</v>
      </c>
      <c r="J177" s="670">
        <v>9.0410518908280765E-2</v>
      </c>
      <c r="K177" s="671">
        <v>3.6878557447298475E-2</v>
      </c>
      <c r="L177" s="672">
        <v>5.485673846222161E-2</v>
      </c>
      <c r="M177" s="673">
        <v>8.2823700060650429E-2</v>
      </c>
      <c r="O177" s="663">
        <v>2017</v>
      </c>
      <c r="P177" s="646">
        <f t="shared" si="97"/>
        <v>2017.7692307692319</v>
      </c>
    </row>
    <row r="178" spans="1:16" ht="15" thickBot="1" x14ac:dyDescent="0.8">
      <c r="A178" s="884"/>
      <c r="B178" s="621" t="s">
        <v>217</v>
      </c>
      <c r="C178" s="664">
        <v>46341.612903225803</v>
      </c>
      <c r="D178" s="665">
        <v>61376.322580645159</v>
      </c>
      <c r="E178" s="666">
        <v>53390.354838709674</v>
      </c>
      <c r="F178" s="667">
        <v>161108.29032258064</v>
      </c>
      <c r="G178" s="668">
        <v>1948165.2817090915</v>
      </c>
      <c r="H178" s="886"/>
      <c r="I178" s="688">
        <v>2.8804727693559136E-2</v>
      </c>
      <c r="J178" s="676">
        <v>8.3272935342361187E-2</v>
      </c>
      <c r="K178" s="677">
        <v>3.1870058392176472E-2</v>
      </c>
      <c r="L178" s="678">
        <v>4.9950438902150562E-2</v>
      </c>
      <c r="M178" s="679">
        <v>8.0027290299421239E-2</v>
      </c>
      <c r="O178" s="663">
        <v>2017</v>
      </c>
      <c r="P178" s="646">
        <f t="shared" si="97"/>
        <v>2017.8461538461549</v>
      </c>
    </row>
    <row r="179" spans="1:16" ht="16.25" thickBot="1" x14ac:dyDescent="0.8">
      <c r="A179" s="888" t="s">
        <v>242</v>
      </c>
      <c r="B179" s="889"/>
      <c r="C179" s="411">
        <v>45697.081906041996</v>
      </c>
      <c r="D179" s="411">
        <v>59914.517972639296</v>
      </c>
      <c r="E179" s="411">
        <v>56735.506930409698</v>
      </c>
      <c r="F179" s="411">
        <v>162347.10680909097</v>
      </c>
      <c r="G179" s="700"/>
      <c r="H179" s="887"/>
      <c r="I179" s="426">
        <v>5.5862916450791777E-2</v>
      </c>
      <c r="J179" s="426">
        <v>0.10522443568760109</v>
      </c>
      <c r="K179" s="427">
        <v>7.3967520472651538E-2</v>
      </c>
      <c r="L179" s="428"/>
      <c r="M179" s="427">
        <v>8.0027290299421239E-2</v>
      </c>
      <c r="N179" s="112">
        <f>AVERAGE(C167:C178)</f>
        <v>45697.081906041996</v>
      </c>
      <c r="P179" s="646">
        <f t="shared" si="97"/>
        <v>2017.923076923078</v>
      </c>
    </row>
    <row r="180" spans="1:16" ht="14.25" x14ac:dyDescent="0.65">
      <c r="A180" s="883">
        <v>2018</v>
      </c>
      <c r="B180" s="612" t="s">
        <v>191</v>
      </c>
      <c r="C180" s="664">
        <v>44341</v>
      </c>
      <c r="D180" s="665">
        <v>57672.709677419356</v>
      </c>
      <c r="E180" s="666">
        <v>51027.516129032258</v>
      </c>
      <c r="F180" s="686">
        <v>153041.22580645164</v>
      </c>
      <c r="G180" s="687">
        <v>153041.22580645164</v>
      </c>
      <c r="H180" s="885" t="s">
        <v>245</v>
      </c>
      <c r="I180" s="658">
        <v>2.3506294108273779E-2</v>
      </c>
      <c r="J180" s="659">
        <v>8.1218998593332897E-2</v>
      </c>
      <c r="K180" s="660">
        <v>2.7872087560487362E-2</v>
      </c>
      <c r="L180" s="661">
        <v>4.6028510544006807E-2</v>
      </c>
      <c r="M180" s="662">
        <v>4.6028510544006807E-2</v>
      </c>
      <c r="O180" s="663">
        <v>2018</v>
      </c>
      <c r="P180" s="646">
        <f t="shared" ref="P180:P224" si="98">P179+$P$97</f>
        <v>2018.0000000000011</v>
      </c>
    </row>
    <row r="181" spans="1:16" ht="14.25" x14ac:dyDescent="0.65">
      <c r="A181" s="883"/>
      <c r="B181" s="621" t="s">
        <v>195</v>
      </c>
      <c r="C181" s="664">
        <v>44942.607142857145</v>
      </c>
      <c r="D181" s="665">
        <v>57856.382854565039</v>
      </c>
      <c r="E181" s="666">
        <v>51341.142857142855</v>
      </c>
      <c r="F181" s="667">
        <v>154140.13285456505</v>
      </c>
      <c r="G181" s="668">
        <v>307181.35866101668</v>
      </c>
      <c r="H181" s="886"/>
      <c r="I181" s="669">
        <v>7.2147843048426686E-3</v>
      </c>
      <c r="J181" s="670">
        <v>5.4232323270805932E-2</v>
      </c>
      <c r="K181" s="671">
        <v>-5.8161960744884961E-3</v>
      </c>
      <c r="L181" s="672">
        <v>1.9834602743784124E-2</v>
      </c>
      <c r="M181" s="673">
        <v>3.2718651872744697E-2</v>
      </c>
      <c r="O181" s="663">
        <v>2018</v>
      </c>
      <c r="P181" s="646">
        <f t="shared" si="98"/>
        <v>2018.0769230769242</v>
      </c>
    </row>
    <row r="182" spans="1:16" ht="14.25" x14ac:dyDescent="0.65">
      <c r="A182" s="883"/>
      <c r="B182" s="612" t="s">
        <v>15</v>
      </c>
      <c r="C182" s="664">
        <v>47113.774193548386</v>
      </c>
      <c r="D182" s="665">
        <v>62185.949659172125</v>
      </c>
      <c r="E182" s="666">
        <v>57596.806451612902</v>
      </c>
      <c r="F182" s="667">
        <v>166896.53030433343</v>
      </c>
      <c r="G182" s="668">
        <v>474077.88896535011</v>
      </c>
      <c r="H182" s="886"/>
      <c r="I182" s="669">
        <v>-9.1995864561681823E-3</v>
      </c>
      <c r="J182" s="670">
        <v>5.34652144234911E-2</v>
      </c>
      <c r="K182" s="671">
        <v>2.2043616710103252E-2</v>
      </c>
      <c r="L182" s="672">
        <v>2.4309303816771655E-2</v>
      </c>
      <c r="M182" s="673">
        <v>2.97424838306799E-2</v>
      </c>
      <c r="O182" s="663">
        <v>2018</v>
      </c>
      <c r="P182" s="646">
        <f t="shared" si="98"/>
        <v>2018.1538461538473</v>
      </c>
    </row>
    <row r="183" spans="1:16" ht="14.25" x14ac:dyDescent="0.65">
      <c r="A183" s="883"/>
      <c r="B183" s="621" t="s">
        <v>16</v>
      </c>
      <c r="C183" s="664">
        <v>47082.9</v>
      </c>
      <c r="D183" s="665">
        <v>62561.153648976149</v>
      </c>
      <c r="E183" s="666">
        <v>57285.966666666667</v>
      </c>
      <c r="F183" s="667">
        <v>166930.02031564282</v>
      </c>
      <c r="G183" s="668">
        <v>641007.90928099293</v>
      </c>
      <c r="H183" s="886"/>
      <c r="I183" s="669">
        <v>0.10368223035720561</v>
      </c>
      <c r="J183" s="670">
        <v>0.14842453076530518</v>
      </c>
      <c r="K183" s="671">
        <v>-9.1861023341295825E-2</v>
      </c>
      <c r="L183" s="672">
        <v>4.1905511872618817E-2</v>
      </c>
      <c r="M183" s="673">
        <v>3.2882525131284313E-2</v>
      </c>
      <c r="O183" s="663">
        <v>2018</v>
      </c>
      <c r="P183" s="646">
        <f t="shared" si="98"/>
        <v>2018.2307692307704</v>
      </c>
    </row>
    <row r="184" spans="1:16" ht="14.25" x14ac:dyDescent="0.65">
      <c r="A184" s="883"/>
      <c r="B184" s="612" t="s">
        <v>17</v>
      </c>
      <c r="C184" s="664">
        <v>47493.258064516129</v>
      </c>
      <c r="D184" s="665">
        <v>64262.548387096773</v>
      </c>
      <c r="E184" s="666">
        <v>58649</v>
      </c>
      <c r="F184" s="667">
        <v>170404.80645161291</v>
      </c>
      <c r="G184" s="668">
        <v>811412.7157326059</v>
      </c>
      <c r="H184" s="886"/>
      <c r="I184" s="669">
        <v>1.722585757921842E-2</v>
      </c>
      <c r="J184" s="670">
        <v>4.9861822652308492E-2</v>
      </c>
      <c r="K184" s="671">
        <v>8.305803756654526E-3</v>
      </c>
      <c r="L184" s="672">
        <v>2.6130907130897052E-2</v>
      </c>
      <c r="M184" s="673">
        <v>3.1457257701654529E-2</v>
      </c>
      <c r="O184" s="663">
        <v>2018</v>
      </c>
      <c r="P184" s="646">
        <f t="shared" si="98"/>
        <v>2018.3076923076935</v>
      </c>
    </row>
    <row r="185" spans="1:16" ht="14.25" x14ac:dyDescent="0.65">
      <c r="A185" s="883"/>
      <c r="B185" s="621" t="s">
        <v>18</v>
      </c>
      <c r="C185" s="664">
        <v>47208.633333333331</v>
      </c>
      <c r="D185" s="665">
        <v>65114</v>
      </c>
      <c r="E185" s="666">
        <v>60968.333333333336</v>
      </c>
      <c r="F185" s="667">
        <v>173290.96666666667</v>
      </c>
      <c r="G185" s="668">
        <v>984703.68239927257</v>
      </c>
      <c r="H185" s="886"/>
      <c r="I185" s="669">
        <v>1.3751138114080432E-2</v>
      </c>
      <c r="J185" s="670">
        <v>4.3019640554796373E-2</v>
      </c>
      <c r="K185" s="671">
        <v>1.6430633487985284E-2</v>
      </c>
      <c r="L185" s="672">
        <v>2.5515341511492151E-2</v>
      </c>
      <c r="M185" s="673">
        <v>3.0406594910582285E-2</v>
      </c>
      <c r="O185" s="663">
        <v>2018</v>
      </c>
      <c r="P185" s="646">
        <f t="shared" si="98"/>
        <v>2018.3846153846166</v>
      </c>
    </row>
    <row r="186" spans="1:16" ht="14.25" x14ac:dyDescent="0.65">
      <c r="A186" s="883"/>
      <c r="B186" s="612" t="s">
        <v>19</v>
      </c>
      <c r="C186" s="664">
        <v>43204.838709677417</v>
      </c>
      <c r="D186" s="665">
        <v>61430.645161290326</v>
      </c>
      <c r="E186" s="666">
        <v>58824.647880323762</v>
      </c>
      <c r="F186" s="667">
        <v>163460.13175129151</v>
      </c>
      <c r="G186" s="668">
        <v>1148163.8141505641</v>
      </c>
      <c r="H186" s="886"/>
      <c r="I186" s="669">
        <v>2.9115038672012417E-2</v>
      </c>
      <c r="J186" s="670">
        <v>2.7328280854579227E-2</v>
      </c>
      <c r="K186" s="671">
        <v>2.1330695924175046E-2</v>
      </c>
      <c r="L186" s="672">
        <v>2.5631498875323899E-2</v>
      </c>
      <c r="M186" s="673">
        <v>2.9724068261157033E-2</v>
      </c>
      <c r="O186" s="663">
        <v>2018</v>
      </c>
      <c r="P186" s="646">
        <f t="shared" si="98"/>
        <v>2018.4615384615397</v>
      </c>
    </row>
    <row r="187" spans="1:16" ht="14.25" x14ac:dyDescent="0.65">
      <c r="A187" s="883"/>
      <c r="B187" s="621" t="s">
        <v>20</v>
      </c>
      <c r="C187" s="664">
        <v>46837.903225806454</v>
      </c>
      <c r="D187" s="665">
        <v>63517.129032258068</v>
      </c>
      <c r="E187" s="666">
        <v>61645.838709677417</v>
      </c>
      <c r="F187" s="667">
        <v>172000.87096774194</v>
      </c>
      <c r="G187" s="668">
        <v>1320164.685118306</v>
      </c>
      <c r="H187" s="886"/>
      <c r="I187" s="669">
        <v>1.935473453495714E-2</v>
      </c>
      <c r="J187" s="670">
        <v>1.1432240500314652E-2</v>
      </c>
      <c r="K187" s="671">
        <v>4.0534102300094056E-2</v>
      </c>
      <c r="L187" s="672">
        <v>2.386228392333134E-2</v>
      </c>
      <c r="M187" s="673">
        <v>2.8956551510029849E-2</v>
      </c>
      <c r="O187" s="663">
        <v>2018</v>
      </c>
      <c r="P187" s="646">
        <f t="shared" si="98"/>
        <v>2018.5384615384628</v>
      </c>
    </row>
    <row r="188" spans="1:16" ht="14.25" x14ac:dyDescent="0.65">
      <c r="A188" s="883"/>
      <c r="B188" s="612" t="s">
        <v>211</v>
      </c>
      <c r="C188" s="664">
        <v>49113.5</v>
      </c>
      <c r="D188" s="665">
        <v>64878.033333333333</v>
      </c>
      <c r="E188" s="666">
        <v>61123.966666666667</v>
      </c>
      <c r="F188" s="667">
        <v>175115.5</v>
      </c>
      <c r="G188" s="668">
        <v>1495280.185118306</v>
      </c>
      <c r="H188" s="886"/>
      <c r="I188" s="669">
        <v>2.3951658859994215E-2</v>
      </c>
      <c r="J188" s="670">
        <v>-7.7743015745892355E-3</v>
      </c>
      <c r="K188" s="671">
        <v>3.2939134000734505E-2</v>
      </c>
      <c r="L188" s="672">
        <v>1.5010312465283171E-2</v>
      </c>
      <c r="M188" s="673">
        <v>2.7303496041732656E-2</v>
      </c>
      <c r="O188" s="663">
        <v>2018</v>
      </c>
      <c r="P188" s="646">
        <f t="shared" si="98"/>
        <v>2018.6153846153859</v>
      </c>
    </row>
    <row r="189" spans="1:16" ht="14.25" x14ac:dyDescent="0.65">
      <c r="A189" s="883"/>
      <c r="B189" s="621" t="s">
        <v>213</v>
      </c>
      <c r="C189" s="664">
        <v>49354.387096774197</v>
      </c>
      <c r="D189" s="665">
        <v>64632.096774193546</v>
      </c>
      <c r="E189" s="666">
        <v>59720.096774193546</v>
      </c>
      <c r="F189" s="667">
        <v>173706.58064516127</v>
      </c>
      <c r="G189" s="668">
        <v>1668986.7657634672</v>
      </c>
      <c r="H189" s="886"/>
      <c r="I189" s="669">
        <v>3.837756432400672E-2</v>
      </c>
      <c r="J189" s="670">
        <v>4.2247110352791807E-2</v>
      </c>
      <c r="K189" s="671">
        <v>4.1903553785147513E-2</v>
      </c>
      <c r="L189" s="672">
        <v>4.1026855491876901E-2</v>
      </c>
      <c r="M189" s="673">
        <v>2.8714918169851611E-2</v>
      </c>
      <c r="O189" s="663">
        <v>2018</v>
      </c>
      <c r="P189" s="646">
        <f t="shared" si="98"/>
        <v>2018.692307692309</v>
      </c>
    </row>
    <row r="190" spans="1:16" ht="14.25" x14ac:dyDescent="0.65">
      <c r="A190" s="883"/>
      <c r="B190" s="612" t="s">
        <v>216</v>
      </c>
      <c r="C190" s="664">
        <v>48557.066666666666</v>
      </c>
      <c r="D190" s="665">
        <v>64891.366666666669</v>
      </c>
      <c r="E190" s="666">
        <v>58420.066666666666</v>
      </c>
      <c r="F190" s="667">
        <v>171868.5</v>
      </c>
      <c r="G190" s="668">
        <v>1840855.2657634672</v>
      </c>
      <c r="H190" s="886"/>
      <c r="I190" s="669">
        <v>2.9063910650833264E-2</v>
      </c>
      <c r="J190" s="670">
        <v>4.2621972740404065E-2</v>
      </c>
      <c r="K190" s="671">
        <v>5.7702219084001694E-2</v>
      </c>
      <c r="L190" s="672">
        <v>4.3795203735273347E-2</v>
      </c>
      <c r="M190" s="673">
        <v>3.0104397697588992E-2</v>
      </c>
      <c r="O190" s="663">
        <v>2018</v>
      </c>
      <c r="P190" s="646">
        <f t="shared" si="98"/>
        <v>2018.7692307692321</v>
      </c>
    </row>
    <row r="191" spans="1:16" ht="15" thickBot="1" x14ac:dyDescent="0.8">
      <c r="A191" s="884"/>
      <c r="B191" s="621" t="s">
        <v>217</v>
      </c>
      <c r="C191" s="664">
        <v>45893.451612903227</v>
      </c>
      <c r="D191" s="665">
        <v>61448.193548387098</v>
      </c>
      <c r="E191" s="666">
        <v>54599.774193548386</v>
      </c>
      <c r="F191" s="667">
        <v>161941.41935483873</v>
      </c>
      <c r="G191" s="668">
        <v>2002796.685118306</v>
      </c>
      <c r="H191" s="886"/>
      <c r="I191" s="688">
        <v>-9.6708177002484044E-3</v>
      </c>
      <c r="J191" s="676">
        <v>1.1709884971929474E-3</v>
      </c>
      <c r="K191" s="677">
        <v>2.2652394023083833E-2</v>
      </c>
      <c r="L191" s="678">
        <v>5.1712362572400306E-3</v>
      </c>
      <c r="M191" s="679">
        <v>2.8042488962377599E-2</v>
      </c>
      <c r="O191" s="663">
        <v>2018</v>
      </c>
      <c r="P191" s="646">
        <f t="shared" si="98"/>
        <v>2018.8461538461552</v>
      </c>
    </row>
    <row r="192" spans="1:16" ht="16.25" thickBot="1" x14ac:dyDescent="0.8">
      <c r="A192" s="888" t="s">
        <v>242</v>
      </c>
      <c r="B192" s="889"/>
      <c r="C192" s="411">
        <f>AVERAGE(C180:C191)</f>
        <v>46761.943337173579</v>
      </c>
      <c r="D192" s="411">
        <f>AVERAGE(D180:D191)</f>
        <v>62537.517395279887</v>
      </c>
      <c r="E192" s="411">
        <f>AVERAGE(E180:E191)</f>
        <v>57600.263027405366</v>
      </c>
      <c r="F192" s="411">
        <f>AVERAGE(F180:F191)</f>
        <v>166899.72375985884</v>
      </c>
      <c r="G192" s="700">
        <f>AVERAGE(G180:G191)</f>
        <v>1070639.3484898421</v>
      </c>
      <c r="H192" s="887"/>
      <c r="I192" s="426">
        <f>(C192-C179)/C179</f>
        <v>2.3302613355510319E-2</v>
      </c>
      <c r="J192" s="426">
        <f>(D192-D179)/D179</f>
        <v>4.3779029046656363E-2</v>
      </c>
      <c r="K192" s="426">
        <f>(E192-E179)/E179</f>
        <v>1.5241885439683404E-2</v>
      </c>
      <c r="L192" s="428">
        <f>(E192-E179)/E179</f>
        <v>1.5241885439683404E-2</v>
      </c>
      <c r="M192" s="427">
        <f>(F192-F179)/F179</f>
        <v>2.8042488962377606E-2</v>
      </c>
      <c r="O192" s="663"/>
      <c r="P192" s="646">
        <f t="shared" si="98"/>
        <v>2018.9230769230783</v>
      </c>
    </row>
    <row r="193" spans="1:16" ht="14.25" x14ac:dyDescent="0.65">
      <c r="A193" s="883">
        <v>2019</v>
      </c>
      <c r="B193" s="612" t="s">
        <v>191</v>
      </c>
      <c r="C193" s="664">
        <v>44642.741935483871</v>
      </c>
      <c r="D193" s="665">
        <v>58065.774193548386</v>
      </c>
      <c r="E193" s="666">
        <v>52814.774193548386</v>
      </c>
      <c r="F193" s="686">
        <v>155523.29032258064</v>
      </c>
      <c r="G193" s="687">
        <v>155523.29032258064</v>
      </c>
      <c r="H193" s="885" t="s">
        <v>245</v>
      </c>
      <c r="I193" s="701">
        <v>6.8050322609745206E-3</v>
      </c>
      <c r="J193" s="702">
        <v>6.8154334749928915E-3</v>
      </c>
      <c r="K193" s="703">
        <v>3.502537846437058E-2</v>
      </c>
      <c r="L193" s="704">
        <v>1.6218273886985379E-2</v>
      </c>
      <c r="M193" s="705">
        <v>1.6218273886985379E-2</v>
      </c>
      <c r="O193" s="663">
        <v>2019</v>
      </c>
      <c r="P193" s="646">
        <f t="shared" si="98"/>
        <v>2019.0000000000014</v>
      </c>
    </row>
    <row r="194" spans="1:16" ht="14.25" x14ac:dyDescent="0.65">
      <c r="A194" s="883"/>
      <c r="B194" s="621" t="s">
        <v>195</v>
      </c>
      <c r="C194" s="664">
        <v>46672.785714285717</v>
      </c>
      <c r="D194" s="665">
        <v>61999.285714285717</v>
      </c>
      <c r="E194" s="666">
        <v>56348</v>
      </c>
      <c r="F194" s="667">
        <v>165020.07142857142</v>
      </c>
      <c r="G194" s="668">
        <v>320543.36175115209</v>
      </c>
      <c r="H194" s="886"/>
      <c r="I194" s="669">
        <v>3.8497512303390137E-2</v>
      </c>
      <c r="J194" s="670">
        <v>7.1606669053867242E-2</v>
      </c>
      <c r="K194" s="671">
        <v>9.7521341836677947E-2</v>
      </c>
      <c r="L194" s="672">
        <v>7.058472295642737E-2</v>
      </c>
      <c r="M194" s="673">
        <v>4.3498743375507853E-2</v>
      </c>
      <c r="O194" s="663">
        <v>2019</v>
      </c>
      <c r="P194" s="646">
        <f t="shared" si="98"/>
        <v>2019.0769230769245</v>
      </c>
    </row>
    <row r="195" spans="1:16" ht="14.25" x14ac:dyDescent="0.65">
      <c r="A195" s="883"/>
      <c r="B195" s="612" t="s">
        <v>15</v>
      </c>
      <c r="C195" s="664">
        <v>48267.870967741932</v>
      </c>
      <c r="D195" s="665">
        <v>63392.258064516129</v>
      </c>
      <c r="E195" s="666">
        <v>56616.741935483871</v>
      </c>
      <c r="F195" s="667">
        <v>168276.87096774194</v>
      </c>
      <c r="G195" s="668">
        <v>488820.23271889403</v>
      </c>
      <c r="H195" s="886"/>
      <c r="I195" s="669">
        <v>2.4495952488382558E-2</v>
      </c>
      <c r="J195" s="670">
        <v>1.9398407710351315E-2</v>
      </c>
      <c r="K195" s="671">
        <v>-1.7015952385352875E-2</v>
      </c>
      <c r="L195" s="672">
        <v>8.2706372678418294E-3</v>
      </c>
      <c r="M195" s="673">
        <v>3.1096881117401054E-2</v>
      </c>
      <c r="O195" s="663">
        <v>2019</v>
      </c>
      <c r="P195" s="646">
        <f t="shared" si="98"/>
        <v>2019.1538461538476</v>
      </c>
    </row>
    <row r="196" spans="1:16" ht="14.25" x14ac:dyDescent="0.65">
      <c r="A196" s="883"/>
      <c r="B196" s="621" t="s">
        <v>16</v>
      </c>
      <c r="C196" s="664">
        <v>44721.599999999999</v>
      </c>
      <c r="D196" s="665">
        <v>61176.3</v>
      </c>
      <c r="E196" s="666">
        <v>56750.2</v>
      </c>
      <c r="F196" s="667">
        <v>162648.09999999998</v>
      </c>
      <c r="G196" s="668">
        <v>651468.332718894</v>
      </c>
      <c r="H196" s="886"/>
      <c r="I196" s="669">
        <v>-5.0151966000395107E-2</v>
      </c>
      <c r="J196" s="670">
        <v>-2.2135999229592376E-2</v>
      </c>
      <c r="K196" s="671">
        <v>-9.3524941245064098E-3</v>
      </c>
      <c r="L196" s="672">
        <v>-2.5650990202638724E-2</v>
      </c>
      <c r="M196" s="673">
        <v>1.6318711963529964E-2</v>
      </c>
      <c r="O196" s="663">
        <v>2019</v>
      </c>
      <c r="P196" s="646">
        <f t="shared" si="98"/>
        <v>2019.2307692307706</v>
      </c>
    </row>
    <row r="197" spans="1:16" ht="14.25" x14ac:dyDescent="0.65">
      <c r="A197" s="883"/>
      <c r="B197" s="612" t="s">
        <v>17</v>
      </c>
      <c r="C197" s="664">
        <v>48394.677419354841</v>
      </c>
      <c r="D197" s="665">
        <v>67411.387096774197</v>
      </c>
      <c r="E197" s="666">
        <v>62668.322580645159</v>
      </c>
      <c r="F197" s="667">
        <v>178474.38709677418</v>
      </c>
      <c r="G197" s="668">
        <v>829942.71981566818</v>
      </c>
      <c r="H197" s="886"/>
      <c r="I197" s="669">
        <v>1.8979943503016777E-2</v>
      </c>
      <c r="J197" s="670">
        <v>4.8999592899893106E-2</v>
      </c>
      <c r="K197" s="671">
        <v>6.853181777430406E-2</v>
      </c>
      <c r="L197" s="672">
        <v>4.7355358180302565E-2</v>
      </c>
      <c r="M197" s="673">
        <v>2.2836718877805584E-2</v>
      </c>
      <c r="O197" s="663">
        <v>2019</v>
      </c>
      <c r="P197" s="646">
        <f t="shared" si="98"/>
        <v>2019.3076923076937</v>
      </c>
    </row>
    <row r="198" spans="1:16" ht="14.25" x14ac:dyDescent="0.65">
      <c r="A198" s="883"/>
      <c r="B198" s="621" t="s">
        <v>18</v>
      </c>
      <c r="C198" s="664">
        <v>44990.2</v>
      </c>
      <c r="D198" s="665">
        <v>64227.3</v>
      </c>
      <c r="E198" s="666">
        <v>61506.366666666669</v>
      </c>
      <c r="F198" s="667">
        <v>170723.86666666667</v>
      </c>
      <c r="G198" s="668">
        <v>1000666.5864823349</v>
      </c>
      <c r="H198" s="886"/>
      <c r="I198" s="669">
        <v>-4.699211090626787E-2</v>
      </c>
      <c r="J198" s="670">
        <v>-1.3617655189360154E-2</v>
      </c>
      <c r="K198" s="671">
        <v>8.8247997594379513E-3</v>
      </c>
      <c r="L198" s="672">
        <v>-1.4813813145482357E-2</v>
      </c>
      <c r="M198" s="673">
        <v>1.6210870710027248E-2</v>
      </c>
      <c r="O198" s="663">
        <v>2019</v>
      </c>
      <c r="P198" s="646">
        <f t="shared" si="98"/>
        <v>2019.3846153846168</v>
      </c>
    </row>
    <row r="199" spans="1:16" ht="14.25" x14ac:dyDescent="0.65">
      <c r="A199" s="883"/>
      <c r="B199" s="612" t="s">
        <v>19</v>
      </c>
      <c r="C199" s="664">
        <v>43749.258064516129</v>
      </c>
      <c r="D199" s="665">
        <v>62981.677419354841</v>
      </c>
      <c r="E199" s="666">
        <v>60408.806451612902</v>
      </c>
      <c r="F199" s="667">
        <v>167139.74193548388</v>
      </c>
      <c r="G199" s="668">
        <v>1167806.3284178188</v>
      </c>
      <c r="H199" s="886"/>
      <c r="I199" s="669">
        <v>1.2600888490685835E-2</v>
      </c>
      <c r="J199" s="670">
        <v>2.5248509990285384E-2</v>
      </c>
      <c r="K199" s="671">
        <v>2.6930183662332196E-2</v>
      </c>
      <c r="L199" s="672">
        <v>2.2510750142982872E-2</v>
      </c>
      <c r="M199" s="673">
        <v>1.7107762869000176E-2</v>
      </c>
      <c r="O199" s="663">
        <v>2019</v>
      </c>
      <c r="P199" s="646">
        <f t="shared" si="98"/>
        <v>2019.4615384615399</v>
      </c>
    </row>
    <row r="200" spans="1:16" ht="14.25" x14ac:dyDescent="0.65">
      <c r="A200" s="883"/>
      <c r="B200" s="621" t="s">
        <v>20</v>
      </c>
      <c r="C200" s="664">
        <v>46647.354838709674</v>
      </c>
      <c r="D200" s="665">
        <v>63398.516129032258</v>
      </c>
      <c r="E200" s="666">
        <v>62568.06451612903</v>
      </c>
      <c r="F200" s="667">
        <v>172613.93548387097</v>
      </c>
      <c r="G200" s="668">
        <v>1340420.2639016898</v>
      </c>
      <c r="H200" s="886"/>
      <c r="I200" s="669">
        <v>-4.068251863840756E-3</v>
      </c>
      <c r="J200" s="670">
        <v>-1.8674160031000647E-3</v>
      </c>
      <c r="K200" s="671">
        <v>1.4960065849616526E-2</v>
      </c>
      <c r="L200" s="672">
        <v>3.564310533311188E-3</v>
      </c>
      <c r="M200" s="673">
        <v>1.5343221199382917E-2</v>
      </c>
      <c r="O200" s="663">
        <v>2019</v>
      </c>
      <c r="P200" s="646">
        <f t="shared" si="98"/>
        <v>2019.538461538463</v>
      </c>
    </row>
    <row r="201" spans="1:16" ht="14.25" x14ac:dyDescent="0.65">
      <c r="A201" s="883"/>
      <c r="B201" s="612" t="s">
        <v>211</v>
      </c>
      <c r="C201" s="664">
        <v>48423.7</v>
      </c>
      <c r="D201" s="665">
        <v>64866.3</v>
      </c>
      <c r="E201" s="666">
        <v>62377.751281927784</v>
      </c>
      <c r="F201" s="667">
        <v>175667.75128192778</v>
      </c>
      <c r="G201" s="668">
        <v>1516088.0151836176</v>
      </c>
      <c r="H201" s="886"/>
      <c r="I201" s="669">
        <v>-1.404501817219304E-2</v>
      </c>
      <c r="J201" s="670">
        <v>-1.8085217338580347E-4</v>
      </c>
      <c r="K201" s="671">
        <v>2.0512160509780119E-2</v>
      </c>
      <c r="L201" s="672">
        <v>3.1536402084781923E-3</v>
      </c>
      <c r="M201" s="673">
        <v>1.3915672977145244E-2</v>
      </c>
      <c r="O201" s="663">
        <v>2019</v>
      </c>
      <c r="P201" s="646">
        <f t="shared" si="98"/>
        <v>2019.6153846153861</v>
      </c>
    </row>
    <row r="202" spans="1:16" ht="14.25" x14ac:dyDescent="0.65">
      <c r="A202" s="883"/>
      <c r="B202" s="621" t="s">
        <v>213</v>
      </c>
      <c r="C202" s="690">
        <v>48885.387096774197</v>
      </c>
      <c r="D202" s="691">
        <v>66077.548387096773</v>
      </c>
      <c r="E202" s="692">
        <v>61538.261715171757</v>
      </c>
      <c r="F202" s="693">
        <v>176501.19719904271</v>
      </c>
      <c r="G202" s="694">
        <v>1692589.2123826602</v>
      </c>
      <c r="H202" s="886"/>
      <c r="I202" s="695">
        <v>-9.5027013319076113E-3</v>
      </c>
      <c r="J202" s="696">
        <v>2.2364300170443649E-2</v>
      </c>
      <c r="K202" s="697">
        <v>3.0444775530971392E-2</v>
      </c>
      <c r="L202" s="698">
        <v>1.6088144407091498E-2</v>
      </c>
      <c r="M202" s="699">
        <v>1.4141781770448114E-2</v>
      </c>
      <c r="O202" s="663">
        <v>2019</v>
      </c>
      <c r="P202" s="646">
        <f t="shared" si="98"/>
        <v>2019.6923076923092</v>
      </c>
    </row>
    <row r="203" spans="1:16" ht="14.25" x14ac:dyDescent="0.65">
      <c r="A203" s="883"/>
      <c r="B203" s="612" t="s">
        <v>216</v>
      </c>
      <c r="C203" s="664">
        <v>47883.533333333333</v>
      </c>
      <c r="D203" s="665">
        <v>64801.866666666669</v>
      </c>
      <c r="E203" s="666">
        <v>59477.23333333333</v>
      </c>
      <c r="F203" s="667">
        <v>172162.63333333333</v>
      </c>
      <c r="G203" s="668">
        <v>1864751.8457159935</v>
      </c>
      <c r="H203" s="886"/>
      <c r="I203" s="669">
        <v>-1.3870964198825839E-2</v>
      </c>
      <c r="J203" s="670">
        <v>-1.379228156185132E-3</v>
      </c>
      <c r="K203" s="671">
        <v>1.8095951048783424E-2</v>
      </c>
      <c r="L203" s="672">
        <v>1.7113859336255199E-3</v>
      </c>
      <c r="M203" s="673">
        <v>1.2981237795800071E-2</v>
      </c>
      <c r="O203" s="663">
        <v>2019</v>
      </c>
      <c r="P203" s="646">
        <f t="shared" si="98"/>
        <v>2019.7692307692323</v>
      </c>
    </row>
    <row r="204" spans="1:16" ht="15" thickBot="1" x14ac:dyDescent="0.8">
      <c r="A204" s="884"/>
      <c r="B204" s="621" t="s">
        <v>217</v>
      </c>
      <c r="C204" s="664">
        <v>44881.161290322583</v>
      </c>
      <c r="D204" s="665">
        <v>60800.129032258068</v>
      </c>
      <c r="E204" s="666">
        <v>54568.806451612902</v>
      </c>
      <c r="F204" s="667">
        <v>160250.09677419355</v>
      </c>
      <c r="G204" s="668">
        <v>2025001.942490187</v>
      </c>
      <c r="H204" s="886"/>
      <c r="I204" s="688">
        <v>-2.2057402243766566E-2</v>
      </c>
      <c r="J204" s="676">
        <v>-1.0546518598935134E-2</v>
      </c>
      <c r="K204" s="677">
        <v>-5.6717710636876621E-4</v>
      </c>
      <c r="L204" s="678">
        <v>-1.0444039501341096E-2</v>
      </c>
      <c r="M204" s="679">
        <v>1.1087125087072547E-2</v>
      </c>
      <c r="O204" s="663">
        <v>2019</v>
      </c>
      <c r="P204" s="646">
        <f t="shared" si="98"/>
        <v>2019.8461538461554</v>
      </c>
    </row>
    <row r="205" spans="1:16" ht="16.25" thickBot="1" x14ac:dyDescent="0.8">
      <c r="A205" s="888" t="s">
        <v>242</v>
      </c>
      <c r="B205" s="889"/>
      <c r="C205" s="706">
        <v>46510</v>
      </c>
      <c r="D205" s="706">
        <v>63270</v>
      </c>
      <c r="E205" s="706">
        <v>58970</v>
      </c>
      <c r="F205" s="706">
        <v>168750</v>
      </c>
      <c r="G205" s="700"/>
      <c r="H205" s="887"/>
      <c r="I205" s="426">
        <v>-5.3464499572284385E-3</v>
      </c>
      <c r="J205" s="426">
        <v>1.1672529581068014E-2</v>
      </c>
      <c r="K205" s="427">
        <v>2.3784722222222276E-2</v>
      </c>
      <c r="L205" s="707"/>
      <c r="M205" s="427">
        <v>1.1087125087072547E-2</v>
      </c>
      <c r="P205" s="646">
        <f t="shared" si="98"/>
        <v>2019.9230769230785</v>
      </c>
    </row>
    <row r="206" spans="1:16" ht="14.25" customHeight="1" x14ac:dyDescent="0.65">
      <c r="A206" s="821" t="s">
        <v>246</v>
      </c>
      <c r="B206" s="501" t="s">
        <v>191</v>
      </c>
      <c r="C206" s="505">
        <v>43332.290322580644</v>
      </c>
      <c r="D206" s="506">
        <v>57700.516129032258</v>
      </c>
      <c r="E206" s="507">
        <v>52034.419354838712</v>
      </c>
      <c r="F206" s="520">
        <v>153067.22580645164</v>
      </c>
      <c r="G206" s="521">
        <v>153067.22580645164</v>
      </c>
      <c r="H206" s="823" t="s">
        <v>245</v>
      </c>
      <c r="I206" s="533">
        <f>(C206-C193)/C193</f>
        <v>-2.9354191881785532E-2</v>
      </c>
      <c r="J206" s="534">
        <v>-6.2904192631381833E-3</v>
      </c>
      <c r="K206" s="535">
        <v>-1.4775313359287239E-2</v>
      </c>
      <c r="L206" s="536">
        <v>-1.5792261795868123E-2</v>
      </c>
      <c r="M206" s="537">
        <v>-1.5792261795868123E-2</v>
      </c>
      <c r="O206" s="663">
        <v>2020</v>
      </c>
      <c r="P206" s="646">
        <f t="shared" si="98"/>
        <v>2020.0000000000016</v>
      </c>
    </row>
    <row r="207" spans="1:16" ht="14.25" x14ac:dyDescent="0.65">
      <c r="A207" s="821"/>
      <c r="B207" s="502" t="s">
        <v>195</v>
      </c>
      <c r="C207" s="505">
        <v>45272.517241379312</v>
      </c>
      <c r="D207" s="506">
        <v>61550.793103448275</v>
      </c>
      <c r="E207" s="507">
        <v>56757.310344827587</v>
      </c>
      <c r="F207" s="508">
        <v>163580.62068965519</v>
      </c>
      <c r="G207" s="509">
        <v>316647.84649610682</v>
      </c>
      <c r="H207" s="824"/>
      <c r="I207" s="510">
        <v>-3.0001819078860088E-2</v>
      </c>
      <c r="J207" s="511">
        <v>-7.2338351268150421E-3</v>
      </c>
      <c r="K207" s="512">
        <v>7.2639728974868136E-3</v>
      </c>
      <c r="L207" s="513">
        <v>-8.7228827769554318E-3</v>
      </c>
      <c r="M207" s="514">
        <v>-1.2152849566947066E-2</v>
      </c>
      <c r="O207" s="663">
        <v>2020</v>
      </c>
      <c r="P207" s="646">
        <f t="shared" si="98"/>
        <v>2020.0769230769247</v>
      </c>
    </row>
    <row r="208" spans="1:16" ht="14.25" x14ac:dyDescent="0.65">
      <c r="A208" s="821"/>
      <c r="B208" s="501" t="s">
        <v>15</v>
      </c>
      <c r="C208" s="505">
        <v>35126.774193548386</v>
      </c>
      <c r="D208" s="506">
        <v>51849.741935483871</v>
      </c>
      <c r="E208" s="507">
        <v>46524.032258064515</v>
      </c>
      <c r="F208" s="508">
        <v>133500.54838709679</v>
      </c>
      <c r="G208" s="509">
        <v>450148.39488320361</v>
      </c>
      <c r="H208" s="824"/>
      <c r="I208" s="510">
        <v>-0.27225349928891451</v>
      </c>
      <c r="J208" s="511">
        <v>-0.18208084837875796</v>
      </c>
      <c r="K208" s="512">
        <v>-0.17826369607986697</v>
      </c>
      <c r="L208" s="513">
        <v>-0.20666133367378603</v>
      </c>
      <c r="M208" s="514">
        <v>-7.9112596507291966E-2</v>
      </c>
      <c r="O208" s="663">
        <v>2020</v>
      </c>
      <c r="P208" s="646">
        <f t="shared" si="98"/>
        <v>2020.1538461538478</v>
      </c>
    </row>
    <row r="209" spans="1:16" ht="14.25" x14ac:dyDescent="0.65">
      <c r="A209" s="821"/>
      <c r="B209" s="502" t="s">
        <v>16</v>
      </c>
      <c r="C209" s="505">
        <v>28013.166666666668</v>
      </c>
      <c r="D209" s="506">
        <v>47126.400000000001</v>
      </c>
      <c r="E209" s="507">
        <v>42406.9</v>
      </c>
      <c r="F209" s="508">
        <v>117546.46666666667</v>
      </c>
      <c r="G209" s="509">
        <v>567694.86154987034</v>
      </c>
      <c r="H209" s="824"/>
      <c r="I209" s="510">
        <v>-0.37360991854793502</v>
      </c>
      <c r="J209" s="511">
        <v>-0.22966246732803391</v>
      </c>
      <c r="K209" s="512">
        <v>-0.25274448371988112</v>
      </c>
      <c r="L209" s="513">
        <v>-0.27729578970386559</v>
      </c>
      <c r="M209" s="514">
        <v>-0.12859177792939869</v>
      </c>
      <c r="O209" s="663">
        <v>2020</v>
      </c>
      <c r="P209" s="646">
        <f t="shared" si="98"/>
        <v>2020.2307692307709</v>
      </c>
    </row>
    <row r="210" spans="1:16" ht="14.25" x14ac:dyDescent="0.65">
      <c r="A210" s="821"/>
      <c r="B210" s="501" t="s">
        <v>17</v>
      </c>
      <c r="C210" s="505">
        <v>39763.387096774197</v>
      </c>
      <c r="D210" s="506">
        <v>63616.93548387097</v>
      </c>
      <c r="E210" s="507">
        <v>58081</v>
      </c>
      <c r="F210" s="508">
        <v>161461.32258064515</v>
      </c>
      <c r="G210" s="509">
        <v>729156.18413051544</v>
      </c>
      <c r="H210" s="824"/>
      <c r="I210" s="510">
        <v>-1.5505598997114897E-2</v>
      </c>
      <c r="J210" s="511">
        <v>3.2133272507692656E-2</v>
      </c>
      <c r="K210" s="512">
        <v>1.2254015979917479E-2</v>
      </c>
      <c r="L210" s="513">
        <v>1.2417322631711691E-2</v>
      </c>
      <c r="M210" s="514">
        <v>-9.8600876340504406E-2</v>
      </c>
      <c r="O210" s="663">
        <v>2020</v>
      </c>
      <c r="P210" s="646">
        <f t="shared" si="98"/>
        <v>2020.307692307694</v>
      </c>
    </row>
    <row r="211" spans="1:16" ht="14.25" x14ac:dyDescent="0.65">
      <c r="A211" s="821"/>
      <c r="B211" s="502" t="s">
        <v>18</v>
      </c>
      <c r="C211" s="505">
        <v>44292.6</v>
      </c>
      <c r="D211" s="506">
        <v>66291.133333333331</v>
      </c>
      <c r="E211" s="507">
        <v>62260.066666666666</v>
      </c>
      <c r="F211" s="508">
        <v>172843.8</v>
      </c>
      <c r="G211" s="509">
        <v>901999.98413051548</v>
      </c>
      <c r="H211" s="824"/>
      <c r="I211" s="510">
        <v>-1.5505598997114897E-2</v>
      </c>
      <c r="J211" s="511">
        <v>3.2133272507692656E-2</v>
      </c>
      <c r="K211" s="512">
        <v>1.2254015979917479E-2</v>
      </c>
      <c r="L211" s="513">
        <v>1.2417322631711691E-2</v>
      </c>
      <c r="M211" s="514">
        <v>-9.8600876340504406E-2</v>
      </c>
      <c r="O211" s="663">
        <v>2020</v>
      </c>
      <c r="P211" s="646">
        <f t="shared" si="98"/>
        <v>2020.3846153846171</v>
      </c>
    </row>
    <row r="212" spans="1:16" ht="14.25" x14ac:dyDescent="0.65">
      <c r="A212" s="821"/>
      <c r="B212" s="501" t="s">
        <v>19</v>
      </c>
      <c r="C212" s="505">
        <v>39867.677419354841</v>
      </c>
      <c r="D212" s="506">
        <v>62533.677419354841</v>
      </c>
      <c r="E212" s="507">
        <v>59020.225806451614</v>
      </c>
      <c r="F212" s="508">
        <v>161421.5806451613</v>
      </c>
      <c r="G212" s="509">
        <v>1063421.5647756767</v>
      </c>
      <c r="H212" s="824"/>
      <c r="I212" s="510">
        <v>-8.8723347935117006E-2</v>
      </c>
      <c r="J212" s="511">
        <v>-7.1131798700287642E-3</v>
      </c>
      <c r="K212" s="512">
        <v>-2.2986394314437133E-2</v>
      </c>
      <c r="L212" s="513">
        <v>-3.4211859035475745E-2</v>
      </c>
      <c r="M212" s="514">
        <v>-8.9385338220906774E-2</v>
      </c>
      <c r="O212" s="663">
        <v>2020</v>
      </c>
      <c r="P212" s="646">
        <f t="shared" si="98"/>
        <v>2020.4615384615402</v>
      </c>
    </row>
    <row r="213" spans="1:16" ht="14.25" x14ac:dyDescent="0.65">
      <c r="A213" s="821"/>
      <c r="B213" s="502" t="s">
        <v>20</v>
      </c>
      <c r="C213" s="505">
        <v>40612.612903225803</v>
      </c>
      <c r="D213" s="506">
        <v>61342.225806451614</v>
      </c>
      <c r="E213" s="507">
        <v>58116.096774193546</v>
      </c>
      <c r="F213" s="508">
        <v>160070.93548387097</v>
      </c>
      <c r="G213" s="509">
        <v>1223492.5002595477</v>
      </c>
      <c r="H213" s="824"/>
      <c r="I213" s="510">
        <v>-0.12936943490900843</v>
      </c>
      <c r="J213" s="511">
        <v>-3.2434360425653577E-2</v>
      </c>
      <c r="K213" s="512">
        <v>-7.1153994875258447E-2</v>
      </c>
      <c r="L213" s="513">
        <v>-7.2665048536431853E-2</v>
      </c>
      <c r="M213" s="514">
        <f>(G213-G200)/G200</f>
        <v>-8.723216650111601E-2</v>
      </c>
      <c r="O213" s="663">
        <v>2020</v>
      </c>
      <c r="P213" s="646">
        <f t="shared" si="98"/>
        <v>2020.5384615384633</v>
      </c>
    </row>
    <row r="214" spans="1:16" ht="14.25" x14ac:dyDescent="0.65">
      <c r="A214" s="821"/>
      <c r="B214" s="501" t="s">
        <v>211</v>
      </c>
      <c r="C214" s="505">
        <v>44213.633333333331</v>
      </c>
      <c r="D214" s="506">
        <v>64904.866666666669</v>
      </c>
      <c r="E214" s="507">
        <v>58732.26666666667</v>
      </c>
      <c r="F214" s="508">
        <v>167850.76666666666</v>
      </c>
      <c r="G214" s="509">
        <v>1391343.2669262143</v>
      </c>
      <c r="H214" s="824"/>
      <c r="I214" s="510">
        <v>-8.6942275511096137E-2</v>
      </c>
      <c r="J214" s="511">
        <v>5.9455628988651572E-4</v>
      </c>
      <c r="K214" s="512">
        <v>-5.8442065325257905E-2</v>
      </c>
      <c r="L214" s="513">
        <v>-4.4498688906854045E-2</v>
      </c>
      <c r="M214" s="514">
        <v>-8.2280676984505474E-2</v>
      </c>
      <c r="N214" s="112"/>
      <c r="O214" s="663">
        <v>2020</v>
      </c>
      <c r="P214" s="646">
        <f t="shared" si="98"/>
        <v>2020.6153846153863</v>
      </c>
    </row>
    <row r="215" spans="1:16" ht="14.25" x14ac:dyDescent="0.65">
      <c r="A215" s="821"/>
      <c r="B215" s="502" t="s">
        <v>213</v>
      </c>
      <c r="C215" s="523">
        <v>35015.451612903227</v>
      </c>
      <c r="D215" s="524">
        <v>55922.645161290326</v>
      </c>
      <c r="E215" s="525">
        <v>50345.129032258068</v>
      </c>
      <c r="F215" s="526">
        <v>141283.22580645161</v>
      </c>
      <c r="G215" s="527">
        <v>1532626.492732666</v>
      </c>
      <c r="H215" s="824"/>
      <c r="I215" s="528">
        <v>-0.2837235482336235</v>
      </c>
      <c r="J215" s="529">
        <v>-0.15368159796602618</v>
      </c>
      <c r="K215" s="530">
        <v>-0.18188899671428505</v>
      </c>
      <c r="L215" s="531">
        <v>-0.19953389524534126</v>
      </c>
      <c r="M215" s="532">
        <v>-9.4507703629290285E-2</v>
      </c>
      <c r="N215" s="112"/>
      <c r="O215" s="663">
        <v>2020</v>
      </c>
      <c r="P215" s="646">
        <f t="shared" si="98"/>
        <v>2020.6923076923094</v>
      </c>
    </row>
    <row r="216" spans="1:16" ht="14.25" x14ac:dyDescent="0.65">
      <c r="A216" s="821"/>
      <c r="B216" s="501" t="s">
        <v>216</v>
      </c>
      <c r="C216" s="505">
        <v>34626.9</v>
      </c>
      <c r="D216" s="506">
        <v>54664.7</v>
      </c>
      <c r="E216" s="507">
        <v>48428.2</v>
      </c>
      <c r="F216" s="508">
        <v>137719.79999999999</v>
      </c>
      <c r="G216" s="509">
        <v>1670346.292732666</v>
      </c>
      <c r="H216" s="824"/>
      <c r="I216" s="510">
        <v>-0.27685161078338688</v>
      </c>
      <c r="J216" s="511">
        <v>-0.15643325089400723</v>
      </c>
      <c r="K216" s="512">
        <v>-0.18576912062150391</v>
      </c>
      <c r="L216" s="513">
        <v>-0.20005986587488311</v>
      </c>
      <c r="M216" s="514">
        <v>-0.10425277413182188</v>
      </c>
      <c r="O216" s="663">
        <v>2020</v>
      </c>
      <c r="P216" s="646">
        <f t="shared" si="98"/>
        <v>2020.7692307692325</v>
      </c>
    </row>
    <row r="217" spans="1:16" ht="15" thickBot="1" x14ac:dyDescent="0.8">
      <c r="A217" s="822"/>
      <c r="B217" s="502" t="s">
        <v>217</v>
      </c>
      <c r="C217" s="505">
        <v>38729.93548387097</v>
      </c>
      <c r="D217" s="506">
        <v>58926.419354838712</v>
      </c>
      <c r="E217" s="507">
        <v>50302.838709677417</v>
      </c>
      <c r="F217" s="508">
        <v>147959.19354838709</v>
      </c>
      <c r="G217" s="509">
        <v>1818305.4862810532</v>
      </c>
      <c r="H217" s="824"/>
      <c r="I217" s="519">
        <v>-0.1370558521572382</v>
      </c>
      <c r="J217" s="515">
        <v>-3.081752797638377E-2</v>
      </c>
      <c r="K217" s="516">
        <v>-7.8175940053191229E-2</v>
      </c>
      <c r="L217" s="517">
        <v>-7.6698257743490927E-2</v>
      </c>
      <c r="M217" s="518">
        <v>-0.10207222614065981</v>
      </c>
      <c r="O217" s="663">
        <v>2020</v>
      </c>
      <c r="P217" s="646">
        <f t="shared" si="98"/>
        <v>2020.8461538461556</v>
      </c>
    </row>
    <row r="218" spans="1:16" ht="16.25" thickBot="1" x14ac:dyDescent="0.8">
      <c r="A218" s="826" t="s">
        <v>242</v>
      </c>
      <c r="B218" s="827"/>
      <c r="C218" s="538">
        <v>39100</v>
      </c>
      <c r="D218" s="538">
        <v>58900</v>
      </c>
      <c r="E218" s="538">
        <v>53600</v>
      </c>
      <c r="F218" s="538"/>
      <c r="G218" s="522"/>
      <c r="H218" s="825"/>
      <c r="I218" s="503"/>
      <c r="J218" s="503"/>
      <c r="K218" s="504"/>
      <c r="L218" s="539"/>
      <c r="M218" s="504">
        <v>-0.10207222614065981</v>
      </c>
      <c r="P218" s="646">
        <f t="shared" si="98"/>
        <v>2020.9230769230787</v>
      </c>
    </row>
    <row r="219" spans="1:16" ht="14.25" x14ac:dyDescent="0.65">
      <c r="A219" s="814" t="s">
        <v>466</v>
      </c>
      <c r="B219" s="540" t="s">
        <v>191</v>
      </c>
      <c r="C219" s="505">
        <v>38182.838709677417</v>
      </c>
      <c r="D219" s="506">
        <v>54011.193548387098</v>
      </c>
      <c r="E219" s="507">
        <v>51048.193548387098</v>
      </c>
      <c r="F219" s="520">
        <v>143242.22580645161</v>
      </c>
      <c r="G219" s="521">
        <v>143242.22580645161</v>
      </c>
      <c r="H219" s="816" t="s">
        <v>277</v>
      </c>
      <c r="I219" s="541">
        <v>-0.11883635908854386</v>
      </c>
      <c r="J219" s="542">
        <v>-6.3939160828214173E-2</v>
      </c>
      <c r="K219" s="543">
        <v>-1.8953335478315545E-2</v>
      </c>
      <c r="L219" s="544">
        <v>-6.4187483298504433E-2</v>
      </c>
      <c r="M219" s="545">
        <v>-6.4187483298504433E-2</v>
      </c>
      <c r="O219" s="663">
        <v>2021</v>
      </c>
      <c r="P219" s="646">
        <f t="shared" si="98"/>
        <v>2021.0000000000018</v>
      </c>
    </row>
    <row r="220" spans="1:16" ht="14.25" x14ac:dyDescent="0.65">
      <c r="A220" s="814"/>
      <c r="B220" s="546" t="s">
        <v>195</v>
      </c>
      <c r="C220" s="505">
        <v>42442.964285714283</v>
      </c>
      <c r="D220" s="506">
        <v>63244.714285714283</v>
      </c>
      <c r="E220" s="507">
        <v>56630.821428571428</v>
      </c>
      <c r="F220" s="508">
        <v>162318.5</v>
      </c>
      <c r="G220" s="509">
        <v>305560.72580645164</v>
      </c>
      <c r="H220" s="817"/>
      <c r="I220" s="569">
        <v>-6.2500455642409108E-2</v>
      </c>
      <c r="J220" s="511">
        <v>2.7520704394808332E-2</v>
      </c>
      <c r="K220" s="570">
        <v>-2.2285925017883909E-3</v>
      </c>
      <c r="L220" s="571">
        <v>-7.7155880955463996E-3</v>
      </c>
      <c r="M220" s="572">
        <v>-3.5014041031198095E-2</v>
      </c>
      <c r="O220" s="663">
        <v>2021</v>
      </c>
      <c r="P220" s="646">
        <f t="shared" si="98"/>
        <v>2021.0769230769249</v>
      </c>
    </row>
    <row r="221" spans="1:16" ht="14.25" x14ac:dyDescent="0.65">
      <c r="A221" s="814"/>
      <c r="B221" s="540" t="s">
        <v>15</v>
      </c>
      <c r="C221" s="505">
        <v>43826.612903225803</v>
      </c>
      <c r="D221" s="506">
        <v>64973.290322580644</v>
      </c>
      <c r="E221" s="507">
        <v>57674.258064516129</v>
      </c>
      <c r="F221" s="508">
        <v>166474.16129032258</v>
      </c>
      <c r="G221" s="509">
        <v>472034.88709677418</v>
      </c>
      <c r="H221" s="817"/>
      <c r="I221" s="510">
        <v>0.24766973083669283</v>
      </c>
      <c r="J221" s="511">
        <v>0.2531073038594151</v>
      </c>
      <c r="K221" s="512">
        <v>0.23966593747941578</v>
      </c>
      <c r="L221" s="513">
        <v>0.24699234049298324</v>
      </c>
      <c r="M221" s="514">
        <v>4.8620615917666976E-2</v>
      </c>
      <c r="O221" s="663">
        <v>2021</v>
      </c>
      <c r="P221" s="646">
        <f t="shared" si="98"/>
        <v>2021.153846153848</v>
      </c>
    </row>
    <row r="222" spans="1:16" ht="14.25" x14ac:dyDescent="0.65">
      <c r="A222" s="814"/>
      <c r="B222" s="546" t="s">
        <v>16</v>
      </c>
      <c r="C222" s="505">
        <v>39560.366666666669</v>
      </c>
      <c r="D222" s="506">
        <v>60303</v>
      </c>
      <c r="E222" s="507">
        <v>54850</v>
      </c>
      <c r="F222" s="508">
        <v>154713.36666666667</v>
      </c>
      <c r="G222" s="509">
        <v>626748.25376344088</v>
      </c>
      <c r="H222" s="817"/>
      <c r="I222" s="510">
        <v>0.41220616495814472</v>
      </c>
      <c r="J222" s="511">
        <v>0.27960124261560393</v>
      </c>
      <c r="K222" s="512">
        <v>0.29342158941115709</v>
      </c>
      <c r="L222" s="513">
        <v>0.31618900213645995</v>
      </c>
      <c r="M222" s="514">
        <v>0.10402312265492086</v>
      </c>
      <c r="O222" s="663">
        <v>2021</v>
      </c>
      <c r="P222" s="646">
        <f t="shared" si="98"/>
        <v>2021.2307692307711</v>
      </c>
    </row>
    <row r="223" spans="1:16" ht="14.25" x14ac:dyDescent="0.65">
      <c r="A223" s="814"/>
      <c r="B223" s="540" t="s">
        <v>17</v>
      </c>
      <c r="C223" s="505">
        <v>44441.838709677417</v>
      </c>
      <c r="D223" s="506">
        <v>68296.290322580651</v>
      </c>
      <c r="E223" s="507">
        <v>61616.419354838712</v>
      </c>
      <c r="F223" s="508">
        <v>174354.54838709679</v>
      </c>
      <c r="G223" s="509">
        <v>801102.80215053773</v>
      </c>
      <c r="H223" s="817"/>
      <c r="I223" s="510">
        <v>0.11765727103470919</v>
      </c>
      <c r="J223" s="511">
        <v>7.3555175255118274E-2</v>
      </c>
      <c r="K223" s="512">
        <v>6.0870497319927552E-2</v>
      </c>
      <c r="L223" s="513">
        <v>7.9853339489473374E-2</v>
      </c>
      <c r="M223" s="514">
        <v>9.8671066070454172E-2</v>
      </c>
      <c r="O223" s="663">
        <v>2021</v>
      </c>
      <c r="P223" s="646">
        <f t="shared" si="98"/>
        <v>2021.3076923076942</v>
      </c>
    </row>
    <row r="224" spans="1:16" ht="14.25" x14ac:dyDescent="0.65">
      <c r="A224" s="814"/>
      <c r="B224" s="546" t="s">
        <v>18</v>
      </c>
      <c r="C224" s="547"/>
      <c r="D224" s="548"/>
      <c r="E224" s="549"/>
      <c r="F224" s="550"/>
      <c r="G224" s="551"/>
      <c r="H224" s="817"/>
      <c r="I224" s="552"/>
      <c r="J224" s="553"/>
      <c r="K224" s="554"/>
      <c r="L224" s="555"/>
      <c r="M224" s="556"/>
      <c r="O224" s="663">
        <v>2021</v>
      </c>
      <c r="P224" s="646">
        <f t="shared" si="98"/>
        <v>2021.3846153846173</v>
      </c>
    </row>
    <row r="225" spans="1:13" x14ac:dyDescent="0.6">
      <c r="A225" s="814"/>
      <c r="B225" s="540" t="s">
        <v>19</v>
      </c>
      <c r="C225" s="547"/>
      <c r="D225" s="548"/>
      <c r="E225" s="549"/>
      <c r="F225" s="550"/>
      <c r="G225" s="551"/>
      <c r="H225" s="817"/>
      <c r="I225" s="552"/>
      <c r="J225" s="553"/>
      <c r="K225" s="554"/>
      <c r="L225" s="555"/>
      <c r="M225" s="556"/>
    </row>
    <row r="226" spans="1:13" x14ac:dyDescent="0.6">
      <c r="A226" s="814"/>
      <c r="B226" s="546" t="s">
        <v>20</v>
      </c>
      <c r="C226" s="547"/>
      <c r="D226" s="548"/>
      <c r="E226" s="549"/>
      <c r="F226" s="550"/>
      <c r="G226" s="551"/>
      <c r="H226" s="817"/>
      <c r="I226" s="552"/>
      <c r="J226" s="553"/>
      <c r="K226" s="554"/>
      <c r="L226" s="555"/>
      <c r="M226" s="556"/>
    </row>
    <row r="227" spans="1:13" x14ac:dyDescent="0.6">
      <c r="A227" s="814"/>
      <c r="B227" s="540" t="s">
        <v>211</v>
      </c>
      <c r="C227" s="547"/>
      <c r="D227" s="548"/>
      <c r="E227" s="549"/>
      <c r="F227" s="550"/>
      <c r="G227" s="551"/>
      <c r="H227" s="817"/>
      <c r="I227" s="552"/>
      <c r="J227" s="553"/>
      <c r="K227" s="554"/>
      <c r="L227" s="555"/>
      <c r="M227" s="556"/>
    </row>
    <row r="228" spans="1:13" x14ac:dyDescent="0.6">
      <c r="A228" s="814"/>
      <c r="B228" s="546" t="s">
        <v>213</v>
      </c>
      <c r="C228" s="547"/>
      <c r="D228" s="548"/>
      <c r="E228" s="549"/>
      <c r="F228" s="550"/>
      <c r="G228" s="551"/>
      <c r="H228" s="817"/>
      <c r="I228" s="552"/>
      <c r="J228" s="553"/>
      <c r="K228" s="554"/>
      <c r="L228" s="555"/>
      <c r="M228" s="556"/>
    </row>
    <row r="229" spans="1:13" x14ac:dyDescent="0.6">
      <c r="A229" s="814"/>
      <c r="B229" s="540" t="s">
        <v>216</v>
      </c>
      <c r="C229" s="547"/>
      <c r="D229" s="548"/>
      <c r="E229" s="549"/>
      <c r="F229" s="550"/>
      <c r="G229" s="551"/>
      <c r="H229" s="817"/>
      <c r="I229" s="552"/>
      <c r="J229" s="553"/>
      <c r="K229" s="554"/>
      <c r="L229" s="555"/>
      <c r="M229" s="556"/>
    </row>
    <row r="230" spans="1:13" ht="13.75" thickBot="1" x14ac:dyDescent="0.75">
      <c r="A230" s="815"/>
      <c r="B230" s="546" t="s">
        <v>217</v>
      </c>
      <c r="C230" s="547"/>
      <c r="D230" s="548"/>
      <c r="E230" s="549"/>
      <c r="F230" s="557"/>
      <c r="G230" s="551"/>
      <c r="H230" s="817"/>
      <c r="I230" s="558"/>
      <c r="J230" s="559"/>
      <c r="K230" s="560"/>
      <c r="L230" s="561"/>
      <c r="M230" s="562"/>
    </row>
    <row r="231" spans="1:13" ht="16.25" thickBot="1" x14ac:dyDescent="0.75">
      <c r="A231" s="819" t="s">
        <v>242</v>
      </c>
      <c r="B231" s="820"/>
      <c r="C231" s="563"/>
      <c r="D231" s="563"/>
      <c r="E231" s="563"/>
      <c r="F231" s="564"/>
      <c r="G231" s="522"/>
      <c r="H231" s="818"/>
      <c r="I231" s="565"/>
      <c r="J231" s="565"/>
      <c r="K231" s="566"/>
      <c r="L231" s="567"/>
      <c r="M231" s="568"/>
    </row>
  </sheetData>
  <mergeCells count="57">
    <mergeCell ref="DG8:DL8"/>
    <mergeCell ref="DG15:DL15"/>
    <mergeCell ref="DG22:DL22"/>
    <mergeCell ref="BQ8:BV8"/>
    <mergeCell ref="BQ15:BV15"/>
    <mergeCell ref="BQ22:BV22"/>
    <mergeCell ref="A24:A35"/>
    <mergeCell ref="H24:H36"/>
    <mergeCell ref="A4:M4"/>
    <mergeCell ref="A5:B7"/>
    <mergeCell ref="C5:M5"/>
    <mergeCell ref="G6:G8"/>
    <mergeCell ref="H6:M6"/>
    <mergeCell ref="I8:K8"/>
    <mergeCell ref="L8:M8"/>
    <mergeCell ref="A9:B9"/>
    <mergeCell ref="I9:K9"/>
    <mergeCell ref="L9:M9"/>
    <mergeCell ref="C10:E10"/>
    <mergeCell ref="A11:A22"/>
    <mergeCell ref="A37:A48"/>
    <mergeCell ref="H37:H49"/>
    <mergeCell ref="A50:A61"/>
    <mergeCell ref="H50:H62"/>
    <mergeCell ref="A63:A74"/>
    <mergeCell ref="H63:H75"/>
    <mergeCell ref="A76:A87"/>
    <mergeCell ref="H76:H88"/>
    <mergeCell ref="A89:A100"/>
    <mergeCell ref="H89:H101"/>
    <mergeCell ref="A102:A113"/>
    <mergeCell ref="H102:H114"/>
    <mergeCell ref="A115:A126"/>
    <mergeCell ref="H115:H127"/>
    <mergeCell ref="A128:A139"/>
    <mergeCell ref="H128:H140"/>
    <mergeCell ref="A141:A152"/>
    <mergeCell ref="H141:H153"/>
    <mergeCell ref="A153:B153"/>
    <mergeCell ref="A154:A165"/>
    <mergeCell ref="H154:H166"/>
    <mergeCell ref="A166:B166"/>
    <mergeCell ref="A167:A178"/>
    <mergeCell ref="H167:H179"/>
    <mergeCell ref="A179:B179"/>
    <mergeCell ref="A180:A191"/>
    <mergeCell ref="H180:H192"/>
    <mergeCell ref="A192:B192"/>
    <mergeCell ref="A193:A204"/>
    <mergeCell ref="H193:H205"/>
    <mergeCell ref="A205:B205"/>
    <mergeCell ref="A206:A217"/>
    <mergeCell ref="H206:H218"/>
    <mergeCell ref="A218:B218"/>
    <mergeCell ref="A219:A230"/>
    <mergeCell ref="H219:H231"/>
    <mergeCell ref="A231:B231"/>
  </mergeCells>
  <dataValidations count="1">
    <dataValidation type="list" allowBlank="1" showInputMessage="1" showErrorMessage="1" sqref="O15" xr:uid="{3C840561-915A-47E1-95BE-FA586403B6E8}">
      <formula1>$O$18:$O$25</formula1>
    </dataValidation>
  </dataValidations>
  <hyperlinks>
    <hyperlink ref="BQ37" r:id="rId1" xr:uid="{53D515FD-128B-418F-B4E0-B6F2E4970C9D}"/>
    <hyperlink ref="DG37" r:id="rId2" xr:uid="{EE58C559-43BA-43DA-A82F-5C0800BAABC0}"/>
  </hyperlinks>
  <pageMargins left="0.7" right="0.7" top="0.75" bottom="0.75" header="0.3" footer="0.3"/>
  <pageSetup paperSize="9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1D03-1111-4588-A619-DB459D40EA78}">
  <dimension ref="A1:CD79"/>
  <sheetViews>
    <sheetView topLeftCell="Q1" zoomScale="60" zoomScaleNormal="60" workbookViewId="0">
      <selection activeCell="AJ76" sqref="AJ76"/>
    </sheetView>
  </sheetViews>
  <sheetFormatPr defaultColWidth="9.1328125" defaultRowHeight="13" x14ac:dyDescent="0.6"/>
  <cols>
    <col min="1" max="1" width="9.1328125" style="50"/>
    <col min="2" max="2" width="18.86328125" style="50" customWidth="1"/>
    <col min="3" max="6" width="9.1328125" style="50"/>
    <col min="7" max="8" width="13.40625" style="50" customWidth="1"/>
    <col min="9" max="9" width="9.1328125" style="50"/>
    <col min="10" max="10" width="12.86328125" style="50" customWidth="1"/>
    <col min="11" max="11" width="13.26953125" style="50" customWidth="1"/>
    <col min="12" max="13" width="9.1328125" style="50"/>
    <col min="14" max="15" width="10.1328125" style="50" bestFit="1" customWidth="1"/>
    <col min="16" max="19" width="9.1328125" style="50"/>
    <col min="20" max="20" width="12.86328125" style="50" customWidth="1"/>
    <col min="21" max="33" width="9.1328125" style="50"/>
    <col min="34" max="34" width="11" style="50" customWidth="1"/>
    <col min="35" max="62" width="9.1328125" style="50"/>
    <col min="63" max="63" width="14.54296875" style="50" customWidth="1"/>
    <col min="64" max="66" width="9.1328125" style="50"/>
    <col min="67" max="67" width="10.54296875" style="50" bestFit="1" customWidth="1"/>
    <col min="68" max="76" width="9.1328125" style="50"/>
    <col min="77" max="77" width="12" style="50" bestFit="1" customWidth="1"/>
    <col min="78" max="80" width="9.1328125" style="50"/>
    <col min="81" max="81" width="12" style="50" bestFit="1" customWidth="1"/>
    <col min="82" max="16384" width="9.1328125" style="50"/>
  </cols>
  <sheetData>
    <row r="1" spans="1:75" ht="14.25" x14ac:dyDescent="0.65">
      <c r="A1" s="430"/>
      <c r="B1" s="430"/>
      <c r="C1" s="430"/>
      <c r="D1" s="430"/>
      <c r="E1" s="430"/>
      <c r="F1" s="430"/>
      <c r="G1" s="430"/>
      <c r="H1" s="430"/>
      <c r="I1" s="430"/>
      <c r="J1" s="430"/>
      <c r="K1" s="430"/>
    </row>
    <row r="2" spans="1:75" ht="17.5" thickBot="1" x14ac:dyDescent="0.9">
      <c r="A2" s="901" t="s">
        <v>266</v>
      </c>
      <c r="B2" s="901"/>
      <c r="C2" s="901"/>
      <c r="D2" s="901"/>
      <c r="E2" s="901"/>
      <c r="F2" s="901"/>
      <c r="G2" s="901"/>
      <c r="H2" s="901"/>
      <c r="I2" s="901"/>
      <c r="J2" s="901"/>
      <c r="K2" s="901"/>
      <c r="BJ2" s="50">
        <f>1/12</f>
        <v>8.3333333333333329E-2</v>
      </c>
    </row>
    <row r="3" spans="1:75" ht="25.25" x14ac:dyDescent="1.05">
      <c r="A3" s="902"/>
      <c r="B3" s="903"/>
      <c r="C3" s="908" t="s">
        <v>280</v>
      </c>
      <c r="D3" s="909"/>
      <c r="E3" s="909"/>
      <c r="F3" s="909"/>
      <c r="G3" s="909"/>
      <c r="H3" s="909"/>
      <c r="I3" s="909"/>
      <c r="J3" s="909"/>
      <c r="K3" s="909"/>
      <c r="L3" s="455"/>
      <c r="M3" s="908" t="s">
        <v>281</v>
      </c>
      <c r="N3" s="909"/>
      <c r="O3" s="909"/>
      <c r="P3" s="909"/>
      <c r="Q3" s="909"/>
      <c r="R3" s="909"/>
      <c r="S3" s="909"/>
      <c r="T3" s="909"/>
      <c r="U3" s="909"/>
      <c r="V3" s="456"/>
      <c r="AD3" s="908" t="s">
        <v>365</v>
      </c>
      <c r="AE3" s="909"/>
      <c r="AF3" s="909"/>
      <c r="AG3" s="909"/>
      <c r="AH3" s="909"/>
      <c r="AI3" s="909"/>
      <c r="AJ3" s="909"/>
      <c r="AK3" s="909"/>
      <c r="AL3" s="909"/>
      <c r="BI3" s="50" t="s">
        <v>278</v>
      </c>
      <c r="BJ3" s="50">
        <f>2015+6*BJ2</f>
        <v>2015.5</v>
      </c>
      <c r="BK3" s="431">
        <v>54618.400000000001</v>
      </c>
      <c r="BM3" s="162"/>
    </row>
    <row r="4" spans="1:75" ht="25.25" x14ac:dyDescent="1.05">
      <c r="A4" s="904"/>
      <c r="B4" s="905"/>
      <c r="C4" s="353"/>
      <c r="D4" s="354"/>
      <c r="E4" s="355"/>
      <c r="F4" s="357"/>
      <c r="G4" s="911"/>
      <c r="H4" s="358"/>
      <c r="I4" s="940" t="s">
        <v>364</v>
      </c>
      <c r="J4" s="941"/>
      <c r="K4" s="941"/>
      <c r="L4" s="455"/>
      <c r="M4" s="353"/>
      <c r="N4" s="354"/>
      <c r="O4" s="355"/>
      <c r="P4" s="357"/>
      <c r="Q4" s="911"/>
      <c r="R4" s="911"/>
      <c r="S4" s="914" t="s">
        <v>363</v>
      </c>
      <c r="T4" s="915"/>
      <c r="U4" s="915"/>
      <c r="V4" s="456"/>
      <c r="AD4" s="353"/>
      <c r="AE4" s="354"/>
      <c r="AF4" s="355"/>
      <c r="AG4" s="357"/>
      <c r="AH4" s="911"/>
      <c r="AI4" s="911"/>
      <c r="AJ4" s="914" t="s">
        <v>363</v>
      </c>
      <c r="AK4" s="915"/>
      <c r="AL4" s="915"/>
      <c r="BI4" s="50" t="s">
        <v>279</v>
      </c>
      <c r="BJ4" s="50">
        <f t="shared" ref="BJ4:BJ35" si="0">BJ3+$BJ$2</f>
        <v>2015.5833333333333</v>
      </c>
      <c r="BK4" s="431">
        <v>48661</v>
      </c>
      <c r="BM4" s="162"/>
      <c r="BT4" s="432" t="s">
        <v>279</v>
      </c>
      <c r="BU4" s="433">
        <v>47144.9</v>
      </c>
    </row>
    <row r="5" spans="1:75" ht="25.25" x14ac:dyDescent="1.05">
      <c r="A5" s="906"/>
      <c r="B5" s="907"/>
      <c r="C5" s="359"/>
      <c r="D5" s="360"/>
      <c r="E5" s="361"/>
      <c r="F5" s="363"/>
      <c r="G5" s="912"/>
      <c r="H5" s="364"/>
      <c r="I5" s="365"/>
      <c r="J5" s="366"/>
      <c r="K5" s="366"/>
      <c r="L5" s="455"/>
      <c r="M5" s="359"/>
      <c r="N5" s="360"/>
      <c r="O5" s="361"/>
      <c r="P5" s="363"/>
      <c r="Q5" s="912"/>
      <c r="R5" s="912"/>
      <c r="S5" s="938"/>
      <c r="T5" s="939"/>
      <c r="U5" s="939"/>
      <c r="V5" s="456"/>
      <c r="AD5" s="359"/>
      <c r="AE5" s="360"/>
      <c r="AF5" s="361"/>
      <c r="AG5" s="363"/>
      <c r="AH5" s="912"/>
      <c r="AI5" s="912"/>
      <c r="AJ5" s="938"/>
      <c r="AK5" s="939"/>
      <c r="AL5" s="939"/>
      <c r="BI5" s="50" t="s">
        <v>282</v>
      </c>
      <c r="BJ5" s="50">
        <f t="shared" si="0"/>
        <v>2015.6666666666665</v>
      </c>
      <c r="BK5" s="431">
        <v>56252.4</v>
      </c>
      <c r="BM5" s="162"/>
      <c r="BT5" s="432" t="s">
        <v>282</v>
      </c>
      <c r="BU5" s="433">
        <v>47830.5</v>
      </c>
    </row>
    <row r="6" spans="1:75" ht="14.75" x14ac:dyDescent="0.75">
      <c r="A6" s="368"/>
      <c r="B6" s="369"/>
      <c r="C6" s="370"/>
      <c r="D6" s="371">
        <v>28</v>
      </c>
      <c r="E6" s="372">
        <v>265</v>
      </c>
      <c r="F6" s="373"/>
      <c r="G6" s="913"/>
      <c r="H6" s="364"/>
      <c r="I6" s="374"/>
      <c r="J6" s="447"/>
      <c r="K6" s="375"/>
      <c r="L6" s="455"/>
      <c r="M6" s="370"/>
      <c r="N6" s="371">
        <v>28</v>
      </c>
      <c r="O6" s="371">
        <v>265</v>
      </c>
      <c r="P6" s="373"/>
      <c r="Q6" s="913"/>
      <c r="R6" s="913"/>
      <c r="S6" s="374"/>
      <c r="T6" s="447"/>
      <c r="U6" s="375"/>
      <c r="V6" s="456"/>
      <c r="AD6" s="370"/>
      <c r="AE6" s="371">
        <v>28</v>
      </c>
      <c r="AF6" s="372">
        <v>265</v>
      </c>
      <c r="AG6" s="373"/>
      <c r="AH6" s="913"/>
      <c r="AI6" s="913"/>
      <c r="AJ6" s="374"/>
      <c r="AK6" s="447"/>
      <c r="AL6" s="375"/>
      <c r="BI6" s="50" t="s">
        <v>283</v>
      </c>
      <c r="BJ6" s="50">
        <f t="shared" si="0"/>
        <v>2015.7499999999998</v>
      </c>
      <c r="BK6" s="431">
        <v>50844.5</v>
      </c>
      <c r="BM6" s="162"/>
      <c r="BT6" s="432" t="s">
        <v>283</v>
      </c>
      <c r="BU6" s="433">
        <v>46838</v>
      </c>
    </row>
    <row r="7" spans="1:75" ht="27.5" thickBot="1" x14ac:dyDescent="0.9">
      <c r="A7" s="921" t="s">
        <v>268</v>
      </c>
      <c r="B7" s="922"/>
      <c r="C7" s="377" t="s">
        <v>176</v>
      </c>
      <c r="D7" s="378" t="s">
        <v>177</v>
      </c>
      <c r="E7" s="379" t="s">
        <v>178</v>
      </c>
      <c r="F7" s="436"/>
      <c r="G7" s="380" t="s">
        <v>164</v>
      </c>
      <c r="H7" s="437" t="s">
        <v>11</v>
      </c>
      <c r="I7" s="381"/>
      <c r="J7" s="452" t="s">
        <v>350</v>
      </c>
      <c r="K7" s="453" t="s">
        <v>65</v>
      </c>
      <c r="L7" s="455"/>
      <c r="M7" s="377" t="s">
        <v>176</v>
      </c>
      <c r="N7" s="378" t="s">
        <v>177</v>
      </c>
      <c r="O7" s="379" t="s">
        <v>178</v>
      </c>
      <c r="P7" s="436"/>
      <c r="Q7" s="380" t="s">
        <v>164</v>
      </c>
      <c r="R7" s="380" t="s">
        <v>11</v>
      </c>
      <c r="S7" s="381"/>
      <c r="T7" s="452" t="s">
        <v>350</v>
      </c>
      <c r="U7" s="453" t="s">
        <v>65</v>
      </c>
      <c r="V7" s="456"/>
      <c r="AD7" s="377" t="s">
        <v>176</v>
      </c>
      <c r="AE7" s="378" t="s">
        <v>177</v>
      </c>
      <c r="AF7" s="379" t="s">
        <v>178</v>
      </c>
      <c r="AG7" s="385" t="s">
        <v>273</v>
      </c>
      <c r="AH7" s="385" t="s">
        <v>273</v>
      </c>
      <c r="AI7" s="385" t="s">
        <v>273</v>
      </c>
      <c r="AJ7" s="381"/>
      <c r="AK7" s="452" t="s">
        <v>350</v>
      </c>
      <c r="AL7" s="453" t="s">
        <v>65</v>
      </c>
      <c r="BI7" s="50" t="s">
        <v>284</v>
      </c>
      <c r="BJ7" s="50">
        <f t="shared" si="0"/>
        <v>2015.833333333333</v>
      </c>
      <c r="BK7" s="431">
        <v>51994.1</v>
      </c>
      <c r="BM7" s="162"/>
      <c r="BT7" s="432" t="s">
        <v>284</v>
      </c>
      <c r="BU7" s="433">
        <v>51495.7</v>
      </c>
    </row>
    <row r="8" spans="1:75" ht="27.5" thickBot="1" x14ac:dyDescent="0.9">
      <c r="A8" s="382"/>
      <c r="B8" s="383" t="s">
        <v>65</v>
      </c>
      <c r="C8" s="927" t="s">
        <v>287</v>
      </c>
      <c r="D8" s="928"/>
      <c r="E8" s="928"/>
      <c r="F8" s="384" t="s">
        <v>273</v>
      </c>
      <c r="G8" s="385" t="s">
        <v>273</v>
      </c>
      <c r="H8" s="386"/>
      <c r="I8" s="387"/>
      <c r="J8" s="448"/>
      <c r="K8" s="454"/>
      <c r="L8" s="455"/>
      <c r="M8" s="927" t="s">
        <v>287</v>
      </c>
      <c r="N8" s="928"/>
      <c r="O8" s="928"/>
      <c r="P8" s="384" t="s">
        <v>273</v>
      </c>
      <c r="Q8" s="385" t="s">
        <v>273</v>
      </c>
      <c r="R8" s="385"/>
      <c r="S8" s="387"/>
      <c r="T8" s="448"/>
      <c r="U8" s="454"/>
      <c r="V8" s="456"/>
      <c r="AD8" s="927" t="s">
        <v>287</v>
      </c>
      <c r="AE8" s="928"/>
      <c r="AF8" s="928"/>
      <c r="AG8" s="436" t="s">
        <v>65</v>
      </c>
      <c r="AH8" s="380" t="s">
        <v>164</v>
      </c>
      <c r="AI8" s="380" t="s">
        <v>11</v>
      </c>
      <c r="AJ8" s="387"/>
      <c r="AK8" s="448"/>
      <c r="AL8" s="454"/>
      <c r="BI8" s="50" t="s">
        <v>285</v>
      </c>
      <c r="BJ8" s="50">
        <f t="shared" si="0"/>
        <v>2015.9166666666663</v>
      </c>
      <c r="BK8" s="431">
        <v>57347.5</v>
      </c>
      <c r="BM8" s="162"/>
      <c r="BT8" s="432" t="s">
        <v>285</v>
      </c>
      <c r="BU8" s="433">
        <v>48080.800000000003</v>
      </c>
    </row>
    <row r="9" spans="1:75" ht="15" customHeight="1" x14ac:dyDescent="0.75">
      <c r="A9" s="897">
        <v>2016</v>
      </c>
      <c r="B9" s="388" t="s">
        <v>289</v>
      </c>
      <c r="C9" s="389">
        <v>62.2</v>
      </c>
      <c r="D9" s="390">
        <f>0.725/1000</f>
        <v>7.2499999999999995E-4</v>
      </c>
      <c r="E9" s="391">
        <f>2.47/1000</f>
        <v>2.4700000000000004E-3</v>
      </c>
      <c r="F9" s="392">
        <f>C9+D9*$D$6+E9*$E$6</f>
        <v>62.874850000000002</v>
      </c>
      <c r="G9" s="438">
        <f>F9</f>
        <v>62.874850000000002</v>
      </c>
      <c r="H9" s="438">
        <v>3</v>
      </c>
      <c r="I9" s="393"/>
      <c r="J9" s="394"/>
      <c r="K9" s="395"/>
      <c r="L9" s="456"/>
      <c r="M9" s="389">
        <v>0</v>
      </c>
      <c r="N9" s="390">
        <v>0</v>
      </c>
      <c r="O9" s="391">
        <v>0</v>
      </c>
      <c r="P9" s="392">
        <f>M9+N9*$N$6+O9*$O$6</f>
        <v>0</v>
      </c>
      <c r="Q9" s="438">
        <f>P9</f>
        <v>0</v>
      </c>
      <c r="R9" s="438">
        <v>0</v>
      </c>
      <c r="S9" s="393"/>
      <c r="T9" s="394"/>
      <c r="U9" s="395"/>
      <c r="V9" s="456"/>
      <c r="AD9" s="389">
        <f t="shared" ref="AD9:AD40" si="1">M9+C9</f>
        <v>62.2</v>
      </c>
      <c r="AE9" s="390">
        <f t="shared" ref="AE9:AE40" si="2">N9+D9</f>
        <v>7.2499999999999995E-4</v>
      </c>
      <c r="AF9" s="391">
        <f t="shared" ref="AF9:AF40" si="3">O9+E9</f>
        <v>2.4700000000000004E-3</v>
      </c>
      <c r="AG9" s="392">
        <f>AD9+AE9*$AE$6+AF9*$AF$6</f>
        <v>62.874850000000002</v>
      </c>
      <c r="AH9" s="438">
        <f>AG9</f>
        <v>62.874850000000002</v>
      </c>
      <c r="AI9" s="438">
        <f t="shared" ref="AI9:AI40" si="4">R9+H9</f>
        <v>3</v>
      </c>
      <c r="AJ9" s="393"/>
      <c r="AK9" s="394"/>
      <c r="AL9" s="395"/>
      <c r="BI9" s="50" t="s">
        <v>286</v>
      </c>
      <c r="BJ9" s="50">
        <f t="shared" si="0"/>
        <v>2015.9999999999995</v>
      </c>
      <c r="BK9" s="431">
        <v>46533.1</v>
      </c>
      <c r="BM9" s="162"/>
      <c r="BT9" s="432" t="s">
        <v>286</v>
      </c>
      <c r="BU9" s="433">
        <v>45877.599999999999</v>
      </c>
    </row>
    <row r="10" spans="1:75" ht="14.75" x14ac:dyDescent="0.75">
      <c r="A10" s="883"/>
      <c r="B10" s="396" t="s">
        <v>291</v>
      </c>
      <c r="C10" s="397">
        <v>8500</v>
      </c>
      <c r="D10" s="398">
        <f>108/1000</f>
        <v>0.108</v>
      </c>
      <c r="E10" s="399">
        <v>0.34399999999999997</v>
      </c>
      <c r="F10" s="400">
        <f t="shared" ref="F10:F60" si="5">C10+D10*$D$6+E10*$E$6</f>
        <v>8594.1839999999993</v>
      </c>
      <c r="G10" s="439">
        <f>F10+F9</f>
        <v>8657.0588499999994</v>
      </c>
      <c r="H10" s="439">
        <v>233</v>
      </c>
      <c r="I10" s="393"/>
      <c r="J10" s="394"/>
      <c r="K10" s="401"/>
      <c r="L10" s="456"/>
      <c r="M10" s="397">
        <v>19.5</v>
      </c>
      <c r="N10" s="398">
        <f>0.232/1000</f>
        <v>2.32E-4</v>
      </c>
      <c r="O10" s="399">
        <f>0.77/1000</f>
        <v>7.7000000000000007E-4</v>
      </c>
      <c r="P10" s="400">
        <f t="shared" ref="P10:P59" si="6">M10+N10*$N$6+O10*$O$6</f>
        <v>19.710545999999997</v>
      </c>
      <c r="Q10" s="439">
        <f>P10+P9</f>
        <v>19.710545999999997</v>
      </c>
      <c r="R10" s="439">
        <v>4</v>
      </c>
      <c r="S10" s="393"/>
      <c r="T10" s="394"/>
      <c r="U10" s="401"/>
      <c r="V10" s="456"/>
      <c r="AD10" s="397">
        <f t="shared" si="1"/>
        <v>8519.5</v>
      </c>
      <c r="AE10" s="398">
        <f t="shared" si="2"/>
        <v>0.10823199999999999</v>
      </c>
      <c r="AF10" s="399">
        <f t="shared" si="3"/>
        <v>0.34476999999999997</v>
      </c>
      <c r="AG10" s="400">
        <f t="shared" ref="AG10:AG60" si="7">AD10+AE10*$AE$6+AF10*$AF$6</f>
        <v>8613.8945459999995</v>
      </c>
      <c r="AH10" s="439">
        <f>AG10+AG9</f>
        <v>8676.7693959999997</v>
      </c>
      <c r="AI10" s="439">
        <f t="shared" si="4"/>
        <v>237</v>
      </c>
      <c r="AJ10" s="393"/>
      <c r="AK10" s="394"/>
      <c r="AL10" s="401"/>
      <c r="BI10" s="50" t="s">
        <v>288</v>
      </c>
      <c r="BJ10" s="50">
        <f t="shared" si="0"/>
        <v>2016.0833333333328</v>
      </c>
      <c r="BK10" s="431">
        <v>45365.2</v>
      </c>
      <c r="BM10" s="162"/>
      <c r="BT10" s="432" t="s">
        <v>288</v>
      </c>
      <c r="BU10" s="433">
        <v>42520.5</v>
      </c>
    </row>
    <row r="11" spans="1:75" ht="14.75" x14ac:dyDescent="0.75">
      <c r="A11" s="883"/>
      <c r="B11" s="396" t="s">
        <v>293</v>
      </c>
      <c r="C11" s="397">
        <v>1500</v>
      </c>
      <c r="D11" s="398">
        <f>17.6/1000</f>
        <v>1.7600000000000001E-2</v>
      </c>
      <c r="E11" s="399">
        <f>64.9/1000</f>
        <v>6.4899999999999999E-2</v>
      </c>
      <c r="F11" s="400">
        <f t="shared" si="5"/>
        <v>1517.6913</v>
      </c>
      <c r="G11" s="439">
        <f>F11+F10+F9</f>
        <v>10174.75015</v>
      </c>
      <c r="H11" s="439">
        <v>144</v>
      </c>
      <c r="I11" s="402"/>
      <c r="J11" s="394"/>
      <c r="K11" s="394"/>
      <c r="L11" s="456"/>
      <c r="M11" s="397">
        <v>20.3</v>
      </c>
      <c r="N11" s="398">
        <f>0.234/1000</f>
        <v>2.3400000000000002E-4</v>
      </c>
      <c r="O11" s="399">
        <f>0.877/1000</f>
        <v>8.7699999999999996E-4</v>
      </c>
      <c r="P11" s="400">
        <f t="shared" si="6"/>
        <v>20.538957</v>
      </c>
      <c r="Q11" s="439">
        <f>P11+P10+P9</f>
        <v>40.249502999999997</v>
      </c>
      <c r="R11" s="439">
        <v>3</v>
      </c>
      <c r="S11" s="402"/>
      <c r="T11" s="394"/>
      <c r="U11" s="394"/>
      <c r="V11" s="456"/>
      <c r="AD11" s="397">
        <f t="shared" si="1"/>
        <v>1520.3</v>
      </c>
      <c r="AE11" s="398">
        <f t="shared" si="2"/>
        <v>1.7834000000000003E-2</v>
      </c>
      <c r="AF11" s="399">
        <f t="shared" si="3"/>
        <v>6.5777000000000002E-2</v>
      </c>
      <c r="AG11" s="400">
        <f t="shared" si="7"/>
        <v>1538.2302569999999</v>
      </c>
      <c r="AH11" s="439">
        <f>AG11+AG10+AG9</f>
        <v>10214.999652999999</v>
      </c>
      <c r="AI11" s="439">
        <f t="shared" si="4"/>
        <v>147</v>
      </c>
      <c r="AJ11" s="402"/>
      <c r="AK11" s="394"/>
      <c r="AL11" s="394"/>
      <c r="BI11" s="50" t="s">
        <v>290</v>
      </c>
      <c r="BJ11" s="50">
        <f t="shared" si="0"/>
        <v>2016.1666666666661</v>
      </c>
      <c r="BK11" s="431">
        <v>66309</v>
      </c>
      <c r="BM11" s="162"/>
      <c r="BT11" s="432" t="s">
        <v>290</v>
      </c>
      <c r="BU11" s="433">
        <v>44203.1</v>
      </c>
    </row>
    <row r="12" spans="1:75" ht="14.75" x14ac:dyDescent="0.75">
      <c r="A12" s="883"/>
      <c r="B12" s="396" t="s">
        <v>295</v>
      </c>
      <c r="C12" s="397">
        <v>78.2</v>
      </c>
      <c r="D12" s="398">
        <f>0.819/1000</f>
        <v>8.1899999999999996E-4</v>
      </c>
      <c r="E12" s="399">
        <f>3.51/1000</f>
        <v>3.5099999999999997E-3</v>
      </c>
      <c r="F12" s="400">
        <f t="shared" si="5"/>
        <v>79.153081999999998</v>
      </c>
      <c r="G12" s="439">
        <f>SUM(F9:F12)</f>
        <v>10253.903232000001</v>
      </c>
      <c r="H12" s="439">
        <v>6</v>
      </c>
      <c r="I12" s="402"/>
      <c r="J12" s="394"/>
      <c r="K12" s="394"/>
      <c r="L12" s="456"/>
      <c r="M12" s="397">
        <v>1100</v>
      </c>
      <c r="N12" s="398">
        <f>13.2/1000</f>
        <v>1.32E-2</v>
      </c>
      <c r="O12" s="399">
        <f>43.8/1000</f>
        <v>4.3799999999999999E-2</v>
      </c>
      <c r="P12" s="400">
        <f t="shared" si="6"/>
        <v>1111.9766</v>
      </c>
      <c r="Q12" s="439">
        <f>SUM(P9:P12)</f>
        <v>1152.226103</v>
      </c>
      <c r="R12" s="439">
        <v>106</v>
      </c>
      <c r="S12" s="402"/>
      <c r="T12" s="394"/>
      <c r="U12" s="394"/>
      <c r="V12" s="456"/>
      <c r="AD12" s="397">
        <f t="shared" si="1"/>
        <v>1178.2</v>
      </c>
      <c r="AE12" s="398">
        <f t="shared" si="2"/>
        <v>1.4019E-2</v>
      </c>
      <c r="AF12" s="399">
        <f t="shared" si="3"/>
        <v>4.7309999999999998E-2</v>
      </c>
      <c r="AG12" s="400">
        <f t="shared" si="7"/>
        <v>1191.1296820000002</v>
      </c>
      <c r="AH12" s="439">
        <f>SUM(AG9:AG12)</f>
        <v>11406.129335</v>
      </c>
      <c r="AI12" s="439">
        <f t="shared" si="4"/>
        <v>112</v>
      </c>
      <c r="AJ12" s="402"/>
      <c r="AK12" s="394"/>
      <c r="AL12" s="394"/>
      <c r="BI12" s="50" t="s">
        <v>292</v>
      </c>
      <c r="BJ12" s="50">
        <f t="shared" si="0"/>
        <v>2016.2499999999993</v>
      </c>
      <c r="BK12" s="431">
        <v>53810.1</v>
      </c>
      <c r="BM12" s="162"/>
      <c r="BT12" s="432" t="s">
        <v>292</v>
      </c>
      <c r="BU12" s="433">
        <v>47222.8</v>
      </c>
    </row>
    <row r="13" spans="1:75" ht="14.75" x14ac:dyDescent="0.75">
      <c r="A13" s="883"/>
      <c r="B13" s="440" t="s">
        <v>297</v>
      </c>
      <c r="C13" s="397">
        <f>SUM(C9:C12)</f>
        <v>10140.400000000001</v>
      </c>
      <c r="D13" s="398">
        <f>SUM(D9:D12)</f>
        <v>0.12714399999999998</v>
      </c>
      <c r="E13" s="399">
        <f>SUM(E9:E12)</f>
        <v>0.41488000000000003</v>
      </c>
      <c r="F13" s="441">
        <f t="shared" si="5"/>
        <v>10253.903232000001</v>
      </c>
      <c r="G13" s="439">
        <f>SUM(F13)</f>
        <v>10253.903232000001</v>
      </c>
      <c r="H13" s="439">
        <f>SUM(H9:H12)</f>
        <v>386</v>
      </c>
      <c r="I13" s="402"/>
      <c r="J13" s="394"/>
      <c r="K13" s="394"/>
      <c r="L13" s="456"/>
      <c r="M13" s="397">
        <f>SUM(M9:M12)</f>
        <v>1139.8</v>
      </c>
      <c r="N13" s="398">
        <f>SUM(N9:N12)</f>
        <v>1.3665999999999999E-2</v>
      </c>
      <c r="O13" s="399">
        <f>SUM(O9:O12)</f>
        <v>4.5447000000000001E-2</v>
      </c>
      <c r="P13" s="441">
        <f t="shared" si="6"/>
        <v>1152.226103</v>
      </c>
      <c r="Q13" s="439">
        <f>SUM(P13)</f>
        <v>1152.226103</v>
      </c>
      <c r="R13" s="439">
        <f>SUM(R9:R12)</f>
        <v>113</v>
      </c>
      <c r="S13" s="402"/>
      <c r="T13" s="394"/>
      <c r="U13" s="394"/>
      <c r="V13" s="456"/>
      <c r="AD13" s="397">
        <f t="shared" si="1"/>
        <v>11280.2</v>
      </c>
      <c r="AE13" s="398">
        <f t="shared" si="2"/>
        <v>0.14080999999999999</v>
      </c>
      <c r="AF13" s="399">
        <f t="shared" si="3"/>
        <v>0.46032700000000004</v>
      </c>
      <c r="AG13" s="441">
        <f t="shared" si="7"/>
        <v>11406.129335000001</v>
      </c>
      <c r="AH13" s="439">
        <f>SUM(AG13)</f>
        <v>11406.129335000001</v>
      </c>
      <c r="AI13" s="439">
        <f t="shared" si="4"/>
        <v>499</v>
      </c>
      <c r="AJ13" s="402"/>
      <c r="AK13" s="394"/>
      <c r="AL13" s="394"/>
      <c r="BI13" s="50" t="s">
        <v>294</v>
      </c>
      <c r="BJ13" s="50">
        <f t="shared" si="0"/>
        <v>2016.3333333333326</v>
      </c>
      <c r="BK13" s="431">
        <v>64035.6</v>
      </c>
      <c r="BM13" s="162"/>
      <c r="BT13" s="432" t="s">
        <v>294</v>
      </c>
      <c r="BU13" s="433">
        <v>46768.7</v>
      </c>
    </row>
    <row r="14" spans="1:75" ht="18" x14ac:dyDescent="0.8">
      <c r="A14" s="883"/>
      <c r="B14" s="396" t="s">
        <v>299</v>
      </c>
      <c r="C14" s="397">
        <v>0</v>
      </c>
      <c r="D14" s="398">
        <v>0</v>
      </c>
      <c r="E14" s="399">
        <v>0</v>
      </c>
      <c r="F14" s="441">
        <f t="shared" si="5"/>
        <v>0</v>
      </c>
      <c r="G14" s="439">
        <f>F13+F14</f>
        <v>10253.903232000001</v>
      </c>
      <c r="H14" s="439">
        <v>0</v>
      </c>
      <c r="I14" s="402"/>
      <c r="J14" s="394"/>
      <c r="K14" s="394"/>
      <c r="L14" s="456"/>
      <c r="M14" s="397">
        <v>242</v>
      </c>
      <c r="N14" s="398">
        <f>3.12/1000</f>
        <v>3.1199999999999999E-3</v>
      </c>
      <c r="O14" s="399">
        <f>10.3/1000</f>
        <v>1.03E-2</v>
      </c>
      <c r="P14" s="441">
        <f t="shared" si="6"/>
        <v>244.81685999999999</v>
      </c>
      <c r="Q14" s="439">
        <f>P13+P14</f>
        <v>1397.0429629999999</v>
      </c>
      <c r="R14" s="439">
        <v>8</v>
      </c>
      <c r="S14" s="402"/>
      <c r="T14" s="394"/>
      <c r="U14" s="394"/>
      <c r="V14" s="456"/>
      <c r="AD14" s="397">
        <f t="shared" si="1"/>
        <v>242</v>
      </c>
      <c r="AE14" s="398">
        <f t="shared" si="2"/>
        <v>3.1199999999999999E-3</v>
      </c>
      <c r="AF14" s="399">
        <f t="shared" si="3"/>
        <v>1.03E-2</v>
      </c>
      <c r="AG14" s="441">
        <f t="shared" si="7"/>
        <v>244.81685999999999</v>
      </c>
      <c r="AH14" s="439">
        <f>AG13+AG14</f>
        <v>11650.946195000002</v>
      </c>
      <c r="AI14" s="439">
        <f t="shared" si="4"/>
        <v>8</v>
      </c>
      <c r="AJ14" s="402"/>
      <c r="AK14" s="394"/>
      <c r="AL14" s="394"/>
      <c r="AO14" s="463" t="s">
        <v>301</v>
      </c>
      <c r="BI14" s="50" t="s">
        <v>296</v>
      </c>
      <c r="BJ14" s="50">
        <f t="shared" si="0"/>
        <v>2016.4166666666658</v>
      </c>
      <c r="BK14" s="431">
        <v>63030.7</v>
      </c>
      <c r="BM14" s="162"/>
      <c r="BT14" s="432" t="s">
        <v>296</v>
      </c>
      <c r="BU14" s="433">
        <v>48352.9</v>
      </c>
    </row>
    <row r="15" spans="1:75" ht="14.75" x14ac:dyDescent="0.75">
      <c r="A15" s="883"/>
      <c r="B15" s="396" t="s">
        <v>301</v>
      </c>
      <c r="C15" s="397">
        <v>12500</v>
      </c>
      <c r="D15" s="398">
        <v>0.124</v>
      </c>
      <c r="E15" s="399">
        <v>0.46500000000000002</v>
      </c>
      <c r="F15" s="400">
        <f t="shared" si="5"/>
        <v>12626.697</v>
      </c>
      <c r="G15" s="439">
        <f>F15+F14+F13</f>
        <v>22880.600232000001</v>
      </c>
      <c r="H15" s="439">
        <v>62</v>
      </c>
      <c r="I15" s="402"/>
      <c r="J15" s="394"/>
      <c r="K15" s="394"/>
      <c r="L15" s="456"/>
      <c r="M15" s="397">
        <v>1200</v>
      </c>
      <c r="N15" s="398">
        <f>14.7/1000</f>
        <v>1.47E-2</v>
      </c>
      <c r="O15" s="399">
        <f>47.5/1000</f>
        <v>4.7500000000000001E-2</v>
      </c>
      <c r="P15" s="400">
        <f t="shared" si="6"/>
        <v>1212.9991</v>
      </c>
      <c r="Q15" s="439">
        <f>P15+P14+P13</f>
        <v>2610.0420629999999</v>
      </c>
      <c r="R15" s="439">
        <v>40</v>
      </c>
      <c r="S15" s="402"/>
      <c r="T15" s="394"/>
      <c r="U15" s="394"/>
      <c r="V15" s="456"/>
      <c r="AD15" s="397">
        <f t="shared" si="1"/>
        <v>13700</v>
      </c>
      <c r="AE15" s="398">
        <f t="shared" si="2"/>
        <v>0.13869999999999999</v>
      </c>
      <c r="AF15" s="399">
        <f t="shared" si="3"/>
        <v>0.51250000000000007</v>
      </c>
      <c r="AG15" s="400">
        <f t="shared" si="7"/>
        <v>13839.696099999999</v>
      </c>
      <c r="AH15" s="439">
        <f>AG15+AG14+AG13</f>
        <v>25490.642295000001</v>
      </c>
      <c r="AI15" s="439">
        <f t="shared" si="4"/>
        <v>102</v>
      </c>
      <c r="AJ15" s="402"/>
      <c r="AK15" s="394"/>
      <c r="AL15" s="394"/>
      <c r="BI15" s="50" t="s">
        <v>298</v>
      </c>
      <c r="BJ15" s="50">
        <f t="shared" si="0"/>
        <v>2016.4999999999991</v>
      </c>
      <c r="BK15" s="431">
        <v>53653.5</v>
      </c>
      <c r="BM15" s="162">
        <f>(BK15-BK3)/BK3</f>
        <v>-1.76662077248693E-2</v>
      </c>
      <c r="BT15" s="432" t="s">
        <v>298</v>
      </c>
      <c r="BU15" s="433">
        <v>43861.5</v>
      </c>
      <c r="BW15" s="162" t="e">
        <f>(BU15-BU3)/BU3</f>
        <v>#DIV/0!</v>
      </c>
    </row>
    <row r="16" spans="1:75" ht="14.75" x14ac:dyDescent="0.75">
      <c r="A16" s="883"/>
      <c r="B16" s="396" t="s">
        <v>303</v>
      </c>
      <c r="C16" s="397">
        <f>C15+C14</f>
        <v>12500</v>
      </c>
      <c r="D16" s="398">
        <f>D15+D14</f>
        <v>0.124</v>
      </c>
      <c r="E16" s="399">
        <f>E15+E14</f>
        <v>0.46500000000000002</v>
      </c>
      <c r="F16" s="400">
        <f t="shared" si="5"/>
        <v>12626.697</v>
      </c>
      <c r="G16" s="439">
        <f>F16+F13</f>
        <v>22880.600232000001</v>
      </c>
      <c r="H16" s="439">
        <f>H15+H14</f>
        <v>62</v>
      </c>
      <c r="I16" s="402"/>
      <c r="J16" s="394"/>
      <c r="K16" s="394"/>
      <c r="L16" s="456"/>
      <c r="M16" s="397">
        <f>M15+M14</f>
        <v>1442</v>
      </c>
      <c r="N16" s="398">
        <f>N15+N14</f>
        <v>1.7819999999999999E-2</v>
      </c>
      <c r="O16" s="399">
        <f>O15+O14</f>
        <v>5.7800000000000004E-2</v>
      </c>
      <c r="P16" s="400">
        <f t="shared" si="6"/>
        <v>1457.8159599999999</v>
      </c>
      <c r="Q16" s="439">
        <f>P16+P13</f>
        <v>2610.0420629999999</v>
      </c>
      <c r="R16" s="439">
        <f>R15+R14</f>
        <v>48</v>
      </c>
      <c r="S16" s="402"/>
      <c r="T16" s="394"/>
      <c r="U16" s="394"/>
      <c r="V16" s="456"/>
      <c r="AD16" s="397">
        <f t="shared" si="1"/>
        <v>13942</v>
      </c>
      <c r="AE16" s="398">
        <f t="shared" si="2"/>
        <v>0.14182</v>
      </c>
      <c r="AF16" s="399">
        <f t="shared" si="3"/>
        <v>0.52280000000000004</v>
      </c>
      <c r="AG16" s="400">
        <f t="shared" si="7"/>
        <v>14084.51296</v>
      </c>
      <c r="AH16" s="439">
        <f>AG16+AG13</f>
        <v>25490.642295000001</v>
      </c>
      <c r="AI16" s="439">
        <f t="shared" si="4"/>
        <v>110</v>
      </c>
      <c r="AJ16" s="402"/>
      <c r="AK16" s="394"/>
      <c r="AL16" s="394"/>
      <c r="AO16" s="247" t="s">
        <v>344</v>
      </c>
      <c r="AP16" s="129" t="s">
        <v>125</v>
      </c>
      <c r="BI16" s="50" t="s">
        <v>300</v>
      </c>
      <c r="BJ16" s="50">
        <f t="shared" si="0"/>
        <v>2016.5833333333323</v>
      </c>
      <c r="BK16" s="431">
        <v>53547.7</v>
      </c>
      <c r="BM16" s="162">
        <f t="shared" ref="BM16:BM21" si="8">(BK16-BK4)/BK4</f>
        <v>0.100423336963893</v>
      </c>
      <c r="BT16" s="432" t="s">
        <v>300</v>
      </c>
      <c r="BU16" s="433">
        <v>40617.4</v>
      </c>
      <c r="BW16" s="162">
        <f t="shared" ref="BW16:BW21" si="9">(BU16-BU4)/BU4</f>
        <v>-0.13845612144685851</v>
      </c>
    </row>
    <row r="17" spans="1:75" ht="14.75" x14ac:dyDescent="0.75">
      <c r="A17" s="883"/>
      <c r="B17" s="396" t="s">
        <v>305</v>
      </c>
      <c r="C17" s="397">
        <f>C16+C13</f>
        <v>22640.400000000001</v>
      </c>
      <c r="D17" s="442">
        <f>D16+D13</f>
        <v>0.25114399999999998</v>
      </c>
      <c r="E17" s="443">
        <f>E16+E13</f>
        <v>0.87988</v>
      </c>
      <c r="F17" s="400">
        <f t="shared" si="5"/>
        <v>22880.600232000001</v>
      </c>
      <c r="G17" s="439">
        <f>F17</f>
        <v>22880.600232000001</v>
      </c>
      <c r="H17" s="439">
        <f>H16+H13</f>
        <v>448</v>
      </c>
      <c r="I17" s="374"/>
      <c r="J17" s="403"/>
      <c r="K17" s="403"/>
      <c r="L17" s="456"/>
      <c r="M17" s="397">
        <f>M16+M13</f>
        <v>2581.8000000000002</v>
      </c>
      <c r="N17" s="442">
        <f>N16+N13</f>
        <v>3.1486E-2</v>
      </c>
      <c r="O17" s="443">
        <f>O16+O13</f>
        <v>0.10324700000000001</v>
      </c>
      <c r="P17" s="400">
        <f t="shared" si="6"/>
        <v>2610.0420630000003</v>
      </c>
      <c r="Q17" s="439">
        <f>P17</f>
        <v>2610.0420630000003</v>
      </c>
      <c r="R17" s="439">
        <f>R16+R13</f>
        <v>161</v>
      </c>
      <c r="S17" s="374"/>
      <c r="T17" s="403"/>
      <c r="U17" s="403"/>
      <c r="V17" s="456"/>
      <c r="AD17" s="397">
        <f t="shared" si="1"/>
        <v>25222.2</v>
      </c>
      <c r="AE17" s="398">
        <f t="shared" si="2"/>
        <v>0.28262999999999999</v>
      </c>
      <c r="AF17" s="399">
        <f t="shared" si="3"/>
        <v>0.98312699999999997</v>
      </c>
      <c r="AG17" s="400">
        <f t="shared" si="7"/>
        <v>25490.642294999998</v>
      </c>
      <c r="AH17" s="439">
        <f>AG17</f>
        <v>25490.642294999998</v>
      </c>
      <c r="AI17" s="439">
        <f t="shared" si="4"/>
        <v>609</v>
      </c>
      <c r="AJ17" s="374"/>
      <c r="AK17" s="403"/>
      <c r="AL17" s="403"/>
      <c r="AS17" s="50" t="s">
        <v>347</v>
      </c>
      <c r="AT17" s="50" t="s">
        <v>269</v>
      </c>
      <c r="AU17" s="50" t="s">
        <v>348</v>
      </c>
      <c r="AV17" s="50" t="s">
        <v>349</v>
      </c>
      <c r="AW17" s="50" t="s">
        <v>350</v>
      </c>
      <c r="AX17" s="50" t="s">
        <v>22</v>
      </c>
      <c r="AZ17" s="164" t="str">
        <f t="shared" ref="AZ17:BE17" si="10">AS17</f>
        <v>GRT</v>
      </c>
      <c r="BA17" s="164" t="str">
        <f t="shared" si="10"/>
        <v>Farþegar</v>
      </c>
      <c r="BB17" s="164" t="str">
        <f t="shared" si="10"/>
        <v>Áhöfn</v>
      </c>
      <c r="BC17" s="164" t="str">
        <f t="shared" si="10"/>
        <v>Farþegar og áhöfn</v>
      </c>
      <c r="BD17" s="164" t="str">
        <f t="shared" si="10"/>
        <v>Skipakomur</v>
      </c>
      <c r="BE17" s="164" t="str">
        <f t="shared" si="10"/>
        <v>Skip</v>
      </c>
      <c r="BI17" s="50" t="s">
        <v>302</v>
      </c>
      <c r="BJ17" s="50">
        <f t="shared" si="0"/>
        <v>2016.6666666666656</v>
      </c>
      <c r="BK17" s="431">
        <v>49609.9</v>
      </c>
      <c r="BM17" s="162">
        <f t="shared" si="8"/>
        <v>-0.11808385064459472</v>
      </c>
      <c r="BT17" s="432" t="s">
        <v>302</v>
      </c>
      <c r="BU17" s="433">
        <v>46332.4</v>
      </c>
      <c r="BW17" s="162">
        <f t="shared" si="9"/>
        <v>-3.1321019015063581E-2</v>
      </c>
    </row>
    <row r="18" spans="1:75" ht="14.75" x14ac:dyDescent="0.75">
      <c r="A18" s="883"/>
      <c r="B18" s="396" t="s">
        <v>35</v>
      </c>
      <c r="C18" s="397">
        <v>2040</v>
      </c>
      <c r="D18" s="398">
        <f>26.2/1000</f>
        <v>2.6199999999999998E-2</v>
      </c>
      <c r="E18" s="399">
        <f>89.6/1000</f>
        <v>8.9599999999999999E-2</v>
      </c>
      <c r="F18" s="400">
        <f t="shared" si="5"/>
        <v>2064.4776000000002</v>
      </c>
      <c r="G18" s="439">
        <f>F17+F18</f>
        <v>24945.077832000003</v>
      </c>
      <c r="H18" s="439">
        <v>70</v>
      </c>
      <c r="I18" s="374"/>
      <c r="J18" s="403"/>
      <c r="K18" s="403"/>
      <c r="L18" s="456"/>
      <c r="M18" s="397">
        <v>6140</v>
      </c>
      <c r="N18" s="398">
        <f>80/1000</f>
        <v>0.08</v>
      </c>
      <c r="O18" s="399">
        <f>261/1000</f>
        <v>0.26100000000000001</v>
      </c>
      <c r="P18" s="400">
        <f t="shared" si="6"/>
        <v>6211.4049999999997</v>
      </c>
      <c r="Q18" s="439">
        <f>P17+P18</f>
        <v>8821.4470629999996</v>
      </c>
      <c r="R18" s="439">
        <v>513</v>
      </c>
      <c r="S18" s="374"/>
      <c r="T18" s="403"/>
      <c r="U18" s="403"/>
      <c r="V18" s="456"/>
      <c r="AD18" s="397">
        <f t="shared" si="1"/>
        <v>8180</v>
      </c>
      <c r="AE18" s="398">
        <f t="shared" si="2"/>
        <v>0.1062</v>
      </c>
      <c r="AF18" s="399">
        <f t="shared" si="3"/>
        <v>0.35060000000000002</v>
      </c>
      <c r="AG18" s="400">
        <f t="shared" si="7"/>
        <v>8275.8826000000008</v>
      </c>
      <c r="AH18" s="439">
        <f>AG17+AG18</f>
        <v>33766.524894999995</v>
      </c>
      <c r="AI18" s="439">
        <f t="shared" si="4"/>
        <v>583</v>
      </c>
      <c r="AJ18" s="374"/>
      <c r="AK18" s="403"/>
      <c r="AL18" s="403"/>
      <c r="AN18" s="50">
        <v>2015</v>
      </c>
      <c r="AO18" s="50">
        <v>108</v>
      </c>
      <c r="AS18" s="50">
        <v>4044816</v>
      </c>
      <c r="AT18" s="50">
        <v>103118</v>
      </c>
      <c r="AU18" s="50">
        <v>43904</v>
      </c>
      <c r="AV18" s="50">
        <f t="shared" ref="AV18:AV23" si="11">AU18+AT18</f>
        <v>147022</v>
      </c>
      <c r="AW18" s="50">
        <v>108</v>
      </c>
      <c r="AX18" s="50">
        <v>62</v>
      </c>
      <c r="BI18" s="50" t="s">
        <v>304</v>
      </c>
      <c r="BJ18" s="50">
        <f t="shared" si="0"/>
        <v>2016.7499999999989</v>
      </c>
      <c r="BK18" s="431">
        <v>47625.599999999999</v>
      </c>
      <c r="BM18" s="162">
        <f t="shared" si="8"/>
        <v>-6.3308715790301825E-2</v>
      </c>
      <c r="BT18" s="432" t="s">
        <v>304</v>
      </c>
      <c r="BU18" s="433">
        <v>49157</v>
      </c>
      <c r="BW18" s="162">
        <f t="shared" si="9"/>
        <v>4.9511080746402494E-2</v>
      </c>
    </row>
    <row r="19" spans="1:75" ht="14.75" x14ac:dyDescent="0.75">
      <c r="A19" s="883"/>
      <c r="B19" s="396" t="s">
        <v>308</v>
      </c>
      <c r="C19" s="397">
        <v>0</v>
      </c>
      <c r="D19" s="398">
        <v>0</v>
      </c>
      <c r="E19" s="399">
        <v>0</v>
      </c>
      <c r="F19" s="400">
        <f t="shared" si="5"/>
        <v>0</v>
      </c>
      <c r="G19" s="439">
        <f>SUM(F17:F19)</f>
        <v>24945.077832000003</v>
      </c>
      <c r="H19" s="439">
        <v>0</v>
      </c>
      <c r="I19" s="374"/>
      <c r="J19" s="403"/>
      <c r="K19" s="403"/>
      <c r="L19" s="456"/>
      <c r="M19" s="397">
        <v>4230</v>
      </c>
      <c r="N19" s="398">
        <f>29.5/1000</f>
        <v>2.9499999999999998E-2</v>
      </c>
      <c r="O19" s="399">
        <f>199/1000</f>
        <v>0.19900000000000001</v>
      </c>
      <c r="P19" s="400">
        <f t="shared" si="6"/>
        <v>4283.5609999999997</v>
      </c>
      <c r="Q19" s="439">
        <f>SUM(P17:P19)</f>
        <v>13105.008062999999</v>
      </c>
      <c r="R19" s="439">
        <v>5607</v>
      </c>
      <c r="S19" s="374"/>
      <c r="T19" s="403"/>
      <c r="U19" s="403"/>
      <c r="V19" s="456"/>
      <c r="AD19" s="397">
        <f t="shared" si="1"/>
        <v>4230</v>
      </c>
      <c r="AE19" s="398">
        <f t="shared" si="2"/>
        <v>2.9499999999999998E-2</v>
      </c>
      <c r="AF19" s="399">
        <f t="shared" si="3"/>
        <v>0.19900000000000001</v>
      </c>
      <c r="AG19" s="400">
        <f t="shared" si="7"/>
        <v>4283.5609999999997</v>
      </c>
      <c r="AH19" s="439">
        <f>SUM(AG17:AG19)</f>
        <v>38050.085894999997</v>
      </c>
      <c r="AI19" s="439">
        <f t="shared" si="4"/>
        <v>5607</v>
      </c>
      <c r="AJ19" s="374"/>
      <c r="AK19" s="403"/>
      <c r="AL19" s="403"/>
      <c r="AN19" s="50">
        <v>2016</v>
      </c>
      <c r="AO19" s="50">
        <v>114</v>
      </c>
      <c r="AP19" s="112">
        <f>AI15</f>
        <v>102</v>
      </c>
      <c r="AQ19" s="162">
        <f>AP19/AO19</f>
        <v>0.89473684210526316</v>
      </c>
      <c r="AS19" s="50">
        <v>3972064</v>
      </c>
      <c r="AT19" s="50">
        <v>101720</v>
      </c>
      <c r="AU19" s="50">
        <v>44149</v>
      </c>
      <c r="AV19" s="50">
        <f t="shared" si="11"/>
        <v>145869</v>
      </c>
      <c r="AW19" s="50">
        <v>114</v>
      </c>
      <c r="AX19" s="50">
        <v>60</v>
      </c>
      <c r="AZ19" s="164">
        <f t="shared" ref="AZ19:BE23" si="12">(AS19-AS18)/AS18</f>
        <v>-1.79864794838628E-2</v>
      </c>
      <c r="BA19" s="164">
        <f>(AT19-AT18)/AT18</f>
        <v>-1.3557283888360907E-2</v>
      </c>
      <c r="BB19" s="164">
        <f t="shared" si="12"/>
        <v>5.580357142857143E-3</v>
      </c>
      <c r="BC19" s="164">
        <f t="shared" si="12"/>
        <v>-7.8423637278774612E-3</v>
      </c>
      <c r="BD19" s="164">
        <f t="shared" si="12"/>
        <v>5.5555555555555552E-2</v>
      </c>
      <c r="BE19" s="164">
        <f t="shared" si="12"/>
        <v>-3.2258064516129031E-2</v>
      </c>
      <c r="BI19" s="50" t="s">
        <v>306</v>
      </c>
      <c r="BJ19" s="50">
        <f t="shared" si="0"/>
        <v>2016.8333333333321</v>
      </c>
      <c r="BK19" s="431">
        <v>52639.6</v>
      </c>
      <c r="BM19" s="162">
        <f t="shared" si="8"/>
        <v>1.2414870148728413E-2</v>
      </c>
      <c r="BT19" s="432" t="s">
        <v>306</v>
      </c>
      <c r="BU19" s="433">
        <v>41015.199999999997</v>
      </c>
      <c r="BW19" s="162">
        <f t="shared" si="9"/>
        <v>-0.20352184745522442</v>
      </c>
    </row>
    <row r="20" spans="1:75" ht="15.5" thickBot="1" x14ac:dyDescent="0.9">
      <c r="A20" s="884"/>
      <c r="B20" s="396" t="s">
        <v>310</v>
      </c>
      <c r="C20" s="405">
        <v>781</v>
      </c>
      <c r="D20" s="406">
        <f>8/1000</f>
        <v>8.0000000000000002E-3</v>
      </c>
      <c r="E20" s="407">
        <f>28.9/1000</f>
        <v>2.8899999999999999E-2</v>
      </c>
      <c r="F20" s="444">
        <f t="shared" si="5"/>
        <v>788.88250000000005</v>
      </c>
      <c r="G20" s="439">
        <f>SUM(F17:F20)</f>
        <v>25733.960332000002</v>
      </c>
      <c r="H20" s="439">
        <v>30</v>
      </c>
      <c r="I20" s="374"/>
      <c r="J20" s="403"/>
      <c r="K20" s="403"/>
      <c r="L20" s="456"/>
      <c r="M20" s="405">
        <v>1170</v>
      </c>
      <c r="N20" s="406">
        <f>7.31/1000</f>
        <v>7.3099999999999997E-3</v>
      </c>
      <c r="O20" s="407">
        <f>31.1/1000</f>
        <v>3.1100000000000003E-2</v>
      </c>
      <c r="P20" s="444">
        <f t="shared" si="6"/>
        <v>1178.4461800000001</v>
      </c>
      <c r="Q20" s="439">
        <f>SUM(P17:P20)</f>
        <v>14283.454243</v>
      </c>
      <c r="R20" s="439">
        <v>114</v>
      </c>
      <c r="S20" s="374"/>
      <c r="T20" s="403"/>
      <c r="U20" s="403"/>
      <c r="V20" s="456"/>
      <c r="AD20" s="405">
        <f t="shared" si="1"/>
        <v>1951</v>
      </c>
      <c r="AE20" s="406">
        <f t="shared" si="2"/>
        <v>1.5310000000000001E-2</v>
      </c>
      <c r="AF20" s="407">
        <f t="shared" si="3"/>
        <v>0.06</v>
      </c>
      <c r="AG20" s="444">
        <f t="shared" si="7"/>
        <v>1967.3286800000001</v>
      </c>
      <c r="AH20" s="439">
        <f>SUM(AG17:AG20)</f>
        <v>40017.414574999995</v>
      </c>
      <c r="AI20" s="439">
        <f t="shared" si="4"/>
        <v>144</v>
      </c>
      <c r="AJ20" s="374"/>
      <c r="AK20" s="403"/>
      <c r="AL20" s="403"/>
      <c r="AN20" s="50">
        <v>2017</v>
      </c>
      <c r="AO20" s="50">
        <v>135</v>
      </c>
      <c r="AP20" s="112">
        <f>AI28</f>
        <v>129</v>
      </c>
      <c r="AQ20" s="162">
        <f>AP20/AO20</f>
        <v>0.9555555555555556</v>
      </c>
      <c r="AS20" s="50">
        <v>4949421</v>
      </c>
      <c r="AT20" s="50">
        <v>128145</v>
      </c>
      <c r="AU20" s="50">
        <v>55428</v>
      </c>
      <c r="AV20" s="50">
        <f t="shared" si="11"/>
        <v>183573</v>
      </c>
      <c r="AW20" s="50">
        <v>133</v>
      </c>
      <c r="AX20" s="50">
        <v>69</v>
      </c>
      <c r="AZ20" s="164">
        <f t="shared" si="12"/>
        <v>0.24605771709619986</v>
      </c>
      <c r="BA20" s="164">
        <f t="shared" si="12"/>
        <v>0.25978175383405427</v>
      </c>
      <c r="BB20" s="164">
        <f t="shared" si="12"/>
        <v>0.25547577521574666</v>
      </c>
      <c r="BC20" s="164">
        <f t="shared" si="12"/>
        <v>0.25847849783024496</v>
      </c>
      <c r="BD20" s="164">
        <f t="shared" si="12"/>
        <v>0.16666666666666666</v>
      </c>
      <c r="BE20" s="164">
        <f t="shared" si="12"/>
        <v>0.15</v>
      </c>
      <c r="BI20" s="50" t="s">
        <v>307</v>
      </c>
      <c r="BJ20" s="50">
        <f t="shared" si="0"/>
        <v>2016.9166666666654</v>
      </c>
      <c r="BK20" s="431">
        <v>49451.6</v>
      </c>
      <c r="BM20" s="162">
        <f t="shared" si="8"/>
        <v>-0.13768516500283362</v>
      </c>
      <c r="BT20" s="432" t="s">
        <v>307</v>
      </c>
      <c r="BU20" s="433">
        <v>41515.699999999997</v>
      </c>
      <c r="BW20" s="162">
        <f t="shared" si="9"/>
        <v>-0.13654306916690248</v>
      </c>
    </row>
    <row r="21" spans="1:75" ht="15.5" thickBot="1" x14ac:dyDescent="0.9">
      <c r="A21" s="409" t="s">
        <v>21</v>
      </c>
      <c r="B21" s="410">
        <f>A9</f>
        <v>2016</v>
      </c>
      <c r="C21" s="411">
        <f>SUM(C17:C20)</f>
        <v>25461.4</v>
      </c>
      <c r="D21" s="445">
        <f>SUM(D17:D20)</f>
        <v>0.28534399999999999</v>
      </c>
      <c r="E21" s="445">
        <f>SUM(E17:E20)</f>
        <v>0.99838000000000005</v>
      </c>
      <c r="F21" s="412">
        <f t="shared" si="5"/>
        <v>25733.960332000002</v>
      </c>
      <c r="G21" s="412">
        <f>G20</f>
        <v>25733.960332000002</v>
      </c>
      <c r="H21" s="412">
        <f>SUM(H17:H20)</f>
        <v>548</v>
      </c>
      <c r="I21" s="413"/>
      <c r="J21" s="414"/>
      <c r="K21" s="414"/>
      <c r="L21" s="456"/>
      <c r="M21" s="411">
        <f>SUM(M17:M20)</f>
        <v>14121.8</v>
      </c>
      <c r="N21" s="445">
        <f>SUM(N17:N20)</f>
        <v>0.14829600000000001</v>
      </c>
      <c r="O21" s="445">
        <f>SUM(O17:O20)</f>
        <v>0.59434700000000007</v>
      </c>
      <c r="P21" s="412">
        <f t="shared" si="6"/>
        <v>14283.454242999998</v>
      </c>
      <c r="Q21" s="412">
        <f>Q20</f>
        <v>14283.454243</v>
      </c>
      <c r="R21" s="412">
        <f>SUM(R17:R20)</f>
        <v>6395</v>
      </c>
      <c r="S21" s="413"/>
      <c r="T21" s="414"/>
      <c r="U21" s="414"/>
      <c r="V21" s="456"/>
      <c r="AD21" s="411">
        <f t="shared" si="1"/>
        <v>39583.199999999997</v>
      </c>
      <c r="AE21" s="411">
        <f t="shared" si="2"/>
        <v>0.43364000000000003</v>
      </c>
      <c r="AF21" s="411">
        <f t="shared" si="3"/>
        <v>1.592727</v>
      </c>
      <c r="AG21" s="412">
        <f t="shared" si="7"/>
        <v>40017.414575000003</v>
      </c>
      <c r="AH21" s="412">
        <f>AH20</f>
        <v>40017.414574999995</v>
      </c>
      <c r="AI21" s="412">
        <f t="shared" si="4"/>
        <v>6943</v>
      </c>
      <c r="AJ21" s="413"/>
      <c r="AK21" s="414"/>
      <c r="AL21" s="414"/>
      <c r="AN21" s="50">
        <v>2018</v>
      </c>
      <c r="AO21" s="50">
        <v>152</v>
      </c>
      <c r="AP21" s="112">
        <f>AI41</f>
        <v>145</v>
      </c>
      <c r="AQ21" s="162">
        <f>AP21/AO21</f>
        <v>0.95394736842105265</v>
      </c>
      <c r="AS21" s="50">
        <v>5700164</v>
      </c>
      <c r="AT21" s="50">
        <v>148539</v>
      </c>
      <c r="AU21" s="50">
        <v>64191</v>
      </c>
      <c r="AV21" s="50">
        <f t="shared" si="11"/>
        <v>212730</v>
      </c>
      <c r="AW21" s="50">
        <v>166</v>
      </c>
      <c r="AX21" s="50">
        <v>72</v>
      </c>
      <c r="AZ21" s="164">
        <f t="shared" si="12"/>
        <v>0.15168299483919431</v>
      </c>
      <c r="BA21" s="164">
        <f t="shared" si="12"/>
        <v>0.1591478403371181</v>
      </c>
      <c r="BB21" s="164">
        <f t="shared" si="12"/>
        <v>0.15809699069062569</v>
      </c>
      <c r="BC21" s="164">
        <f t="shared" si="12"/>
        <v>0.15883054697586246</v>
      </c>
      <c r="BD21" s="164">
        <f t="shared" si="12"/>
        <v>0.24812030075187969</v>
      </c>
      <c r="BE21" s="164">
        <f t="shared" si="12"/>
        <v>4.3478260869565216E-2</v>
      </c>
      <c r="BI21" s="50" t="s">
        <v>309</v>
      </c>
      <c r="BJ21" s="50">
        <f t="shared" si="0"/>
        <v>2016.9999999999986</v>
      </c>
      <c r="BK21" s="431">
        <v>46446.7</v>
      </c>
      <c r="BM21" s="162">
        <f t="shared" si="8"/>
        <v>-1.8567428346704057E-3</v>
      </c>
      <c r="BT21" s="432" t="s">
        <v>309</v>
      </c>
      <c r="BU21" s="433">
        <v>37693.599999999999</v>
      </c>
      <c r="BW21" s="162">
        <f t="shared" si="9"/>
        <v>-0.17838770990635955</v>
      </c>
    </row>
    <row r="22" spans="1:75" ht="15" customHeight="1" x14ac:dyDescent="0.75">
      <c r="A22" s="883">
        <v>2017</v>
      </c>
      <c r="B22" s="388" t="s">
        <v>289</v>
      </c>
      <c r="C22" s="389">
        <v>34.4</v>
      </c>
      <c r="D22" s="390">
        <f>0.454/1000</f>
        <v>4.5400000000000003E-4</v>
      </c>
      <c r="E22" s="391">
        <f>1.44/1000</f>
        <v>1.4399999999999999E-3</v>
      </c>
      <c r="F22" s="392">
        <f t="shared" si="5"/>
        <v>34.794311999999998</v>
      </c>
      <c r="G22" s="438">
        <f>F22</f>
        <v>34.794311999999998</v>
      </c>
      <c r="H22" s="438">
        <v>2</v>
      </c>
      <c r="I22" s="899" t="s">
        <v>244</v>
      </c>
      <c r="J22" s="449">
        <f>(H22-H9)/H9</f>
        <v>-0.33333333333333331</v>
      </c>
      <c r="K22" s="416">
        <f t="shared" ref="K22:K53" si="13">(F22-F9)/F9</f>
        <v>-0.44661001974557402</v>
      </c>
      <c r="M22" s="389">
        <v>8.9499999999999993</v>
      </c>
      <c r="N22" s="390">
        <f>0.127/1000</f>
        <v>1.27E-4</v>
      </c>
      <c r="O22" s="391">
        <f>0.371/1000</f>
        <v>3.7100000000000002E-4</v>
      </c>
      <c r="P22" s="392">
        <f t="shared" si="6"/>
        <v>9.0518709999999984</v>
      </c>
      <c r="Q22" s="438">
        <f>P22</f>
        <v>9.0518709999999984</v>
      </c>
      <c r="R22" s="438">
        <v>1</v>
      </c>
      <c r="S22" s="899" t="s">
        <v>244</v>
      </c>
      <c r="T22" s="415" t="e">
        <f>(R22-R9)/R9</f>
        <v>#DIV/0!</v>
      </c>
      <c r="U22" s="416" t="e">
        <f t="shared" ref="U22:U53" si="14">(P22-P9)/P9</f>
        <v>#DIV/0!</v>
      </c>
      <c r="AD22" s="389">
        <f t="shared" si="1"/>
        <v>43.349999999999994</v>
      </c>
      <c r="AE22" s="390">
        <f t="shared" si="2"/>
        <v>5.8100000000000003E-4</v>
      </c>
      <c r="AF22" s="391">
        <f t="shared" si="3"/>
        <v>1.8109999999999999E-3</v>
      </c>
      <c r="AG22" s="392">
        <f t="shared" si="7"/>
        <v>43.846182999999989</v>
      </c>
      <c r="AH22" s="438">
        <f>AG22</f>
        <v>43.846182999999989</v>
      </c>
      <c r="AI22" s="438">
        <f t="shared" si="4"/>
        <v>3</v>
      </c>
      <c r="AJ22" s="899" t="s">
        <v>244</v>
      </c>
      <c r="AK22" s="415">
        <f>(AI22-AI9)/AI9</f>
        <v>0</v>
      </c>
      <c r="AL22" s="416">
        <f t="shared" ref="AL22:AL53" si="15">(AG22-AG9)/AG9</f>
        <v>-0.30264353712175873</v>
      </c>
      <c r="AN22" s="50">
        <v>2019</v>
      </c>
      <c r="AO22" s="50">
        <v>190</v>
      </c>
      <c r="AP22" s="112">
        <f>AI54</f>
        <v>165</v>
      </c>
      <c r="AQ22" s="162">
        <f>AP22/AO22</f>
        <v>0.86842105263157898</v>
      </c>
      <c r="AS22" s="50">
        <v>7208722</v>
      </c>
      <c r="AT22" s="50">
        <v>182508</v>
      </c>
      <c r="AU22" s="50">
        <v>79853</v>
      </c>
      <c r="AV22" s="50">
        <f t="shared" si="11"/>
        <v>262361</v>
      </c>
      <c r="AW22" s="50">
        <v>190</v>
      </c>
      <c r="AX22" s="50">
        <v>84</v>
      </c>
      <c r="AZ22" s="164">
        <f t="shared" si="12"/>
        <v>0.2646516837059425</v>
      </c>
      <c r="BA22" s="164">
        <f t="shared" si="12"/>
        <v>0.22868741542625168</v>
      </c>
      <c r="BB22" s="164">
        <f t="shared" si="12"/>
        <v>0.24399059058123412</v>
      </c>
      <c r="BC22" s="164">
        <f t="shared" si="12"/>
        <v>0.23330512856672778</v>
      </c>
      <c r="BD22" s="164">
        <f t="shared" si="12"/>
        <v>0.14457831325301204</v>
      </c>
      <c r="BE22" s="164">
        <f t="shared" si="12"/>
        <v>0.16666666666666666</v>
      </c>
      <c r="BI22" s="50" t="s">
        <v>311</v>
      </c>
      <c r="BJ22" s="50">
        <f t="shared" si="0"/>
        <v>2017.0833333333319</v>
      </c>
      <c r="BK22" s="431">
        <v>44502.9</v>
      </c>
      <c r="BM22" s="162">
        <f>(BK22-BK10)/BK10</f>
        <v>-1.9007962050205791E-2</v>
      </c>
      <c r="BT22" s="432" t="s">
        <v>311</v>
      </c>
      <c r="BU22" s="433">
        <v>33443.599999999999</v>
      </c>
      <c r="BW22" s="162">
        <f>(BU22-BU10)/BU10</f>
        <v>-0.21347114921038091</v>
      </c>
    </row>
    <row r="23" spans="1:75" ht="14.75" x14ac:dyDescent="0.75">
      <c r="A23" s="883"/>
      <c r="B23" s="396" t="s">
        <v>291</v>
      </c>
      <c r="C23" s="397">
        <v>10700</v>
      </c>
      <c r="D23" s="398">
        <f>136/1000</f>
        <v>0.13600000000000001</v>
      </c>
      <c r="E23" s="399">
        <f>433/1000</f>
        <v>0.433</v>
      </c>
      <c r="F23" s="400">
        <f t="shared" si="5"/>
        <v>10818.553000000002</v>
      </c>
      <c r="G23" s="439">
        <f>F23+F22</f>
        <v>10853.347312000002</v>
      </c>
      <c r="H23" s="439">
        <v>279</v>
      </c>
      <c r="I23" s="899"/>
      <c r="J23" s="450">
        <f t="shared" ref="J23:J60" si="16">(H23-H10)/H10</f>
        <v>0.19742489270386265</v>
      </c>
      <c r="K23" s="420">
        <f t="shared" si="13"/>
        <v>0.25882259444293987</v>
      </c>
      <c r="M23" s="397">
        <v>84.6</v>
      </c>
      <c r="N23" s="398">
        <f>1.02/1000</f>
        <v>1.0200000000000001E-3</v>
      </c>
      <c r="O23" s="399">
        <f>3.38/1000</f>
        <v>3.3799999999999998E-3</v>
      </c>
      <c r="P23" s="400">
        <f t="shared" si="6"/>
        <v>85.524259999999998</v>
      </c>
      <c r="Q23" s="439">
        <f>P23+P22</f>
        <v>94.576131000000004</v>
      </c>
      <c r="R23" s="439">
        <v>5</v>
      </c>
      <c r="S23" s="899"/>
      <c r="T23" s="419">
        <f t="shared" ref="T23:T58" si="17">(R23-R10)/R10</f>
        <v>0.25</v>
      </c>
      <c r="U23" s="420">
        <f t="shared" si="14"/>
        <v>3.3390101928175917</v>
      </c>
      <c r="AD23" s="397">
        <f t="shared" si="1"/>
        <v>10784.6</v>
      </c>
      <c r="AE23" s="398">
        <f t="shared" si="2"/>
        <v>0.13702</v>
      </c>
      <c r="AF23" s="399">
        <f t="shared" si="3"/>
        <v>0.43637999999999999</v>
      </c>
      <c r="AG23" s="400">
        <f t="shared" si="7"/>
        <v>10904.07726</v>
      </c>
      <c r="AH23" s="439">
        <f>AG23+AG22</f>
        <v>10947.923443</v>
      </c>
      <c r="AI23" s="439">
        <f t="shared" si="4"/>
        <v>284</v>
      </c>
      <c r="AJ23" s="899"/>
      <c r="AK23" s="419">
        <f t="shared" ref="AK23:AK57" si="18">(AI23-AI10)/AI10</f>
        <v>0.19831223628691982</v>
      </c>
      <c r="AL23" s="420">
        <f t="shared" si="15"/>
        <v>0.26587076284367606</v>
      </c>
      <c r="AN23" s="50">
        <v>2020</v>
      </c>
      <c r="AO23" s="50">
        <v>7</v>
      </c>
      <c r="AP23" s="112">
        <f>AI67</f>
        <v>7</v>
      </c>
      <c r="AQ23" s="162">
        <f>AP23/AO23</f>
        <v>1</v>
      </c>
      <c r="AS23" s="50">
        <v>106496</v>
      </c>
      <c r="AT23" s="50">
        <v>2966</v>
      </c>
      <c r="AU23" s="50">
        <v>1700</v>
      </c>
      <c r="AV23" s="50">
        <f t="shared" si="11"/>
        <v>4666</v>
      </c>
      <c r="AW23" s="50">
        <v>7</v>
      </c>
      <c r="AX23" s="50">
        <v>3</v>
      </c>
      <c r="AZ23" s="164">
        <f t="shared" si="12"/>
        <v>-0.98522678499739624</v>
      </c>
      <c r="BA23" s="164">
        <f t="shared" si="12"/>
        <v>-0.98374865759309182</v>
      </c>
      <c r="BB23" s="164">
        <f t="shared" si="12"/>
        <v>-0.9787108812442864</v>
      </c>
      <c r="BC23" s="164">
        <f t="shared" si="12"/>
        <v>-0.98221534450623382</v>
      </c>
      <c r="BD23" s="164">
        <f t="shared" si="12"/>
        <v>-0.9631578947368421</v>
      </c>
      <c r="BE23" s="164">
        <f t="shared" si="12"/>
        <v>-0.9642857142857143</v>
      </c>
      <c r="BI23" s="50" t="s">
        <v>312</v>
      </c>
      <c r="BJ23" s="50">
        <f t="shared" si="0"/>
        <v>2017.1666666666652</v>
      </c>
      <c r="BK23" s="431">
        <v>55858.8</v>
      </c>
      <c r="BM23" s="162">
        <f t="shared" ref="BM23:BM42" si="19">(BK23-BK11)/BK11</f>
        <v>-0.15759851603854677</v>
      </c>
      <c r="BT23" s="432" t="s">
        <v>312</v>
      </c>
      <c r="BU23" s="433">
        <v>39625.699999999997</v>
      </c>
      <c r="BW23" s="162">
        <f t="shared" ref="BW23:BW42" si="20">(BU23-BU11)/BU11</f>
        <v>-0.10355382314815027</v>
      </c>
    </row>
    <row r="24" spans="1:75" ht="14.75" x14ac:dyDescent="0.75">
      <c r="A24" s="883"/>
      <c r="B24" s="396" t="s">
        <v>293</v>
      </c>
      <c r="C24" s="397">
        <v>1610</v>
      </c>
      <c r="D24" s="398">
        <f>21.2/1000</f>
        <v>2.12E-2</v>
      </c>
      <c r="E24" s="399">
        <f>68.2/1000</f>
        <v>6.8199999999999997E-2</v>
      </c>
      <c r="F24" s="400">
        <f t="shared" si="5"/>
        <v>1628.6666</v>
      </c>
      <c r="G24" s="439">
        <f>F24+F23+F22</f>
        <v>12482.013912000002</v>
      </c>
      <c r="H24" s="439">
        <v>174</v>
      </c>
      <c r="I24" s="899"/>
      <c r="J24" s="450">
        <f t="shared" si="16"/>
        <v>0.20833333333333334</v>
      </c>
      <c r="K24" s="420">
        <f t="shared" si="13"/>
        <v>7.3121128124013141E-2</v>
      </c>
      <c r="M24" s="397">
        <v>67.8</v>
      </c>
      <c r="N24" s="398">
        <f>0.872/1000</f>
        <v>8.7199999999999995E-4</v>
      </c>
      <c r="O24" s="399">
        <f>2.85/1000</f>
        <v>2.8500000000000001E-3</v>
      </c>
      <c r="P24" s="400">
        <f t="shared" si="6"/>
        <v>68.579666000000003</v>
      </c>
      <c r="Q24" s="439">
        <f>P24+P23+P22</f>
        <v>163.15579700000001</v>
      </c>
      <c r="R24" s="439">
        <v>8</v>
      </c>
      <c r="S24" s="899"/>
      <c r="T24" s="419">
        <f t="shared" si="17"/>
        <v>1.6666666666666667</v>
      </c>
      <c r="U24" s="420">
        <f t="shared" si="14"/>
        <v>2.3390043126337918</v>
      </c>
      <c r="AD24" s="397">
        <f t="shared" si="1"/>
        <v>1677.8</v>
      </c>
      <c r="AE24" s="398">
        <f t="shared" si="2"/>
        <v>2.2072000000000001E-2</v>
      </c>
      <c r="AF24" s="399">
        <f t="shared" si="3"/>
        <v>7.1050000000000002E-2</v>
      </c>
      <c r="AG24" s="400">
        <f t="shared" si="7"/>
        <v>1697.2462659999999</v>
      </c>
      <c r="AH24" s="439">
        <f>AG24+AG23+AG22</f>
        <v>12645.169709</v>
      </c>
      <c r="AI24" s="439">
        <f t="shared" si="4"/>
        <v>182</v>
      </c>
      <c r="AJ24" s="899"/>
      <c r="AK24" s="419">
        <f t="shared" si="18"/>
        <v>0.23809523809523808</v>
      </c>
      <c r="AL24" s="420">
        <f t="shared" si="15"/>
        <v>0.10337594666102055</v>
      </c>
      <c r="BI24" s="50" t="s">
        <v>314</v>
      </c>
      <c r="BJ24" s="50">
        <f t="shared" si="0"/>
        <v>2017.2499999999984</v>
      </c>
      <c r="BK24" s="431">
        <v>51902.9</v>
      </c>
      <c r="BM24" s="162">
        <f t="shared" si="19"/>
        <v>-3.5443160298902938E-2</v>
      </c>
      <c r="BT24" s="432" t="s">
        <v>314</v>
      </c>
      <c r="BU24" s="433">
        <v>41323.5</v>
      </c>
      <c r="BW24" s="162">
        <f t="shared" si="20"/>
        <v>-0.12492482444920679</v>
      </c>
    </row>
    <row r="25" spans="1:75" ht="14.75" x14ac:dyDescent="0.75">
      <c r="A25" s="883"/>
      <c r="B25" s="396" t="s">
        <v>295</v>
      </c>
      <c r="C25" s="397">
        <v>62.1</v>
      </c>
      <c r="D25" s="398">
        <f>0.747/1000</f>
        <v>7.4700000000000005E-4</v>
      </c>
      <c r="E25" s="399">
        <f>2.43/1000</f>
        <v>2.4300000000000003E-3</v>
      </c>
      <c r="F25" s="400">
        <f t="shared" si="5"/>
        <v>62.764865999999998</v>
      </c>
      <c r="G25" s="439">
        <f>SUM(F22:F25)</f>
        <v>12544.778778000002</v>
      </c>
      <c r="H25" s="439">
        <v>5</v>
      </c>
      <c r="I25" s="899"/>
      <c r="J25" s="450">
        <f t="shared" si="16"/>
        <v>-0.16666666666666666</v>
      </c>
      <c r="K25" s="420">
        <f t="shared" si="13"/>
        <v>-0.20704457218734704</v>
      </c>
      <c r="M25" s="397">
        <v>906.5</v>
      </c>
      <c r="N25" s="398">
        <f>31.1/1000</f>
        <v>3.1100000000000003E-2</v>
      </c>
      <c r="O25" s="399">
        <f>35.4/1000</f>
        <v>3.5400000000000001E-2</v>
      </c>
      <c r="P25" s="400">
        <f t="shared" si="6"/>
        <v>916.7518</v>
      </c>
      <c r="Q25" s="439">
        <f>SUM(P22:P25)</f>
        <v>1079.9075969999999</v>
      </c>
      <c r="R25" s="439">
        <v>108</v>
      </c>
      <c r="S25" s="899"/>
      <c r="T25" s="419">
        <f t="shared" si="17"/>
        <v>1.8867924528301886E-2</v>
      </c>
      <c r="U25" s="420">
        <f t="shared" si="14"/>
        <v>-0.17556556495883094</v>
      </c>
      <c r="AD25" s="397">
        <f t="shared" si="1"/>
        <v>968.6</v>
      </c>
      <c r="AE25" s="398">
        <f t="shared" si="2"/>
        <v>3.1847E-2</v>
      </c>
      <c r="AF25" s="399">
        <f t="shared" si="3"/>
        <v>3.7830000000000003E-2</v>
      </c>
      <c r="AG25" s="400">
        <f t="shared" si="7"/>
        <v>979.51666599999999</v>
      </c>
      <c r="AH25" s="439">
        <f>SUM(AG22:AG25)</f>
        <v>13624.686374999999</v>
      </c>
      <c r="AI25" s="439">
        <f t="shared" si="4"/>
        <v>113</v>
      </c>
      <c r="AJ25" s="899"/>
      <c r="AK25" s="419">
        <f t="shared" si="18"/>
        <v>8.9285714285714281E-3</v>
      </c>
      <c r="AL25" s="420">
        <f t="shared" si="15"/>
        <v>-0.17765741144548206</v>
      </c>
      <c r="BI25" s="50" t="s">
        <v>315</v>
      </c>
      <c r="BJ25" s="50">
        <f t="shared" si="0"/>
        <v>2017.3333333333317</v>
      </c>
      <c r="BK25" s="431">
        <v>73176.800000000003</v>
      </c>
      <c r="BM25" s="162">
        <f t="shared" si="19"/>
        <v>0.14275184428661564</v>
      </c>
      <c r="BT25" s="432" t="s">
        <v>315</v>
      </c>
      <c r="BU25" s="433">
        <v>49096.9</v>
      </c>
      <c r="BW25" s="162">
        <f t="shared" si="20"/>
        <v>4.9781157055894316E-2</v>
      </c>
    </row>
    <row r="26" spans="1:75" ht="18" x14ac:dyDescent="0.8">
      <c r="A26" s="883"/>
      <c r="B26" s="440" t="s">
        <v>297</v>
      </c>
      <c r="C26" s="397">
        <f>SUM(C22:C25)</f>
        <v>12406.5</v>
      </c>
      <c r="D26" s="398">
        <f>SUM(D22:D25)</f>
        <v>0.15840100000000001</v>
      </c>
      <c r="E26" s="399">
        <f>SUM(E22:E25)</f>
        <v>0.50507000000000002</v>
      </c>
      <c r="F26" s="441">
        <f t="shared" si="5"/>
        <v>12544.778778</v>
      </c>
      <c r="G26" s="439">
        <f>SUM(F26)</f>
        <v>12544.778778</v>
      </c>
      <c r="H26" s="439">
        <f>SUM(H22:H25)</f>
        <v>460</v>
      </c>
      <c r="I26" s="899"/>
      <c r="J26" s="450">
        <f t="shared" si="16"/>
        <v>0.19170984455958548</v>
      </c>
      <c r="K26" s="420">
        <f t="shared" si="13"/>
        <v>0.22341497614788483</v>
      </c>
      <c r="M26" s="397">
        <f>SUM(M22:M25)</f>
        <v>1067.8499999999999</v>
      </c>
      <c r="N26" s="398">
        <f>SUM(N22:N25)</f>
        <v>3.3119000000000003E-2</v>
      </c>
      <c r="O26" s="399">
        <f>SUM(O22:O25)</f>
        <v>4.2001000000000004E-2</v>
      </c>
      <c r="P26" s="441">
        <f t="shared" si="6"/>
        <v>1079.9075969999999</v>
      </c>
      <c r="Q26" s="439">
        <f>SUM(P26)</f>
        <v>1079.9075969999999</v>
      </c>
      <c r="R26" s="439">
        <f>SUM(R22:R25)</f>
        <v>122</v>
      </c>
      <c r="S26" s="899"/>
      <c r="T26" s="419">
        <f t="shared" si="17"/>
        <v>7.9646017699115043E-2</v>
      </c>
      <c r="U26" s="420">
        <f t="shared" si="14"/>
        <v>-6.2764162182845529E-2</v>
      </c>
      <c r="AD26" s="397">
        <f t="shared" si="1"/>
        <v>13474.35</v>
      </c>
      <c r="AE26" s="398">
        <f t="shared" si="2"/>
        <v>0.19152000000000002</v>
      </c>
      <c r="AF26" s="399">
        <f t="shared" si="3"/>
        <v>0.54707099999999997</v>
      </c>
      <c r="AG26" s="441">
        <f t="shared" si="7"/>
        <v>13624.686374999999</v>
      </c>
      <c r="AH26" s="439">
        <f>SUM(AG26)</f>
        <v>13624.686374999999</v>
      </c>
      <c r="AI26" s="439">
        <f t="shared" si="4"/>
        <v>582</v>
      </c>
      <c r="AJ26" s="899"/>
      <c r="AK26" s="419">
        <f t="shared" si="18"/>
        <v>0.16633266533066132</v>
      </c>
      <c r="AL26" s="420">
        <f t="shared" si="15"/>
        <v>0.19450568855047948</v>
      </c>
      <c r="AO26" s="463" t="s">
        <v>310</v>
      </c>
      <c r="BI26" s="50" t="s">
        <v>316</v>
      </c>
      <c r="BJ26" s="50">
        <f t="shared" si="0"/>
        <v>2017.4166666666649</v>
      </c>
      <c r="BK26" s="431">
        <v>59967.5</v>
      </c>
      <c r="BM26" s="162">
        <f t="shared" si="19"/>
        <v>-4.8598540076502356E-2</v>
      </c>
      <c r="BT26" s="432" t="s">
        <v>316</v>
      </c>
      <c r="BU26" s="433">
        <v>44976</v>
      </c>
      <c r="BW26" s="162">
        <f t="shared" si="20"/>
        <v>-6.9838623950166406E-2</v>
      </c>
    </row>
    <row r="27" spans="1:75" ht="14.75" x14ac:dyDescent="0.75">
      <c r="A27" s="883"/>
      <c r="B27" s="396" t="s">
        <v>299</v>
      </c>
      <c r="C27" s="397">
        <v>0</v>
      </c>
      <c r="D27" s="398">
        <v>0</v>
      </c>
      <c r="E27" s="399">
        <v>0</v>
      </c>
      <c r="F27" s="441">
        <f t="shared" si="5"/>
        <v>0</v>
      </c>
      <c r="G27" s="439">
        <f>F26+F27</f>
        <v>12544.778778</v>
      </c>
      <c r="H27" s="439">
        <v>0</v>
      </c>
      <c r="I27" s="899"/>
      <c r="J27" s="450" t="e">
        <f t="shared" si="16"/>
        <v>#DIV/0!</v>
      </c>
      <c r="K27" s="420" t="e">
        <f t="shared" si="13"/>
        <v>#DIV/0!</v>
      </c>
      <c r="M27" s="397">
        <v>188</v>
      </c>
      <c r="N27" s="398">
        <f>2.55/1000</f>
        <v>2.5499999999999997E-3</v>
      </c>
      <c r="O27" s="399">
        <f>8.02/1000</f>
        <v>8.0199999999999994E-3</v>
      </c>
      <c r="P27" s="441">
        <f t="shared" si="6"/>
        <v>190.19670000000002</v>
      </c>
      <c r="Q27" s="439">
        <f>P26+P27</f>
        <v>1270.1042969999999</v>
      </c>
      <c r="R27" s="439">
        <v>6</v>
      </c>
      <c r="S27" s="899"/>
      <c r="T27" s="419">
        <f t="shared" si="17"/>
        <v>-0.25</v>
      </c>
      <c r="U27" s="420">
        <f t="shared" si="14"/>
        <v>-0.22310620273456644</v>
      </c>
      <c r="AD27" s="397">
        <f t="shared" si="1"/>
        <v>188</v>
      </c>
      <c r="AE27" s="398">
        <f t="shared" si="2"/>
        <v>2.5499999999999997E-3</v>
      </c>
      <c r="AF27" s="399">
        <f t="shared" si="3"/>
        <v>8.0199999999999994E-3</v>
      </c>
      <c r="AG27" s="441">
        <f t="shared" si="7"/>
        <v>190.19670000000002</v>
      </c>
      <c r="AH27" s="439">
        <f>AG26+AG27</f>
        <v>13814.883075</v>
      </c>
      <c r="AI27" s="439">
        <f t="shared" si="4"/>
        <v>6</v>
      </c>
      <c r="AJ27" s="899"/>
      <c r="AK27" s="419">
        <f t="shared" si="18"/>
        <v>-0.25</v>
      </c>
      <c r="AL27" s="420">
        <f t="shared" si="15"/>
        <v>-0.22310620273456644</v>
      </c>
      <c r="AS27" s="202"/>
      <c r="BI27" s="50" t="s">
        <v>317</v>
      </c>
      <c r="BJ27" s="50">
        <f t="shared" si="0"/>
        <v>2017.4999999999982</v>
      </c>
      <c r="BK27" s="431">
        <v>59997.599999999999</v>
      </c>
      <c r="BM27" s="162">
        <f t="shared" si="19"/>
        <v>0.11824205317453658</v>
      </c>
      <c r="BT27" s="432" t="s">
        <v>317</v>
      </c>
      <c r="BU27" s="433">
        <v>38653.1</v>
      </c>
      <c r="BW27" s="162">
        <f t="shared" si="20"/>
        <v>-0.11874650889732456</v>
      </c>
    </row>
    <row r="28" spans="1:75" ht="14.75" x14ac:dyDescent="0.75">
      <c r="A28" s="883"/>
      <c r="B28" s="396" t="s">
        <v>301</v>
      </c>
      <c r="C28" s="397">
        <v>10500</v>
      </c>
      <c r="D28" s="398">
        <v>0.112</v>
      </c>
      <c r="E28" s="399">
        <v>0.40600000000000003</v>
      </c>
      <c r="F28" s="400">
        <f t="shared" si="5"/>
        <v>10610.726000000001</v>
      </c>
      <c r="G28" s="439">
        <f>F28+F27+F26</f>
        <v>23155.504778000002</v>
      </c>
      <c r="H28" s="439">
        <v>80</v>
      </c>
      <c r="I28" s="899"/>
      <c r="J28" s="450">
        <f t="shared" si="16"/>
        <v>0.29032258064516131</v>
      </c>
      <c r="K28" s="420">
        <f t="shared" si="13"/>
        <v>-0.15965941053309504</v>
      </c>
      <c r="M28" s="397">
        <v>929</v>
      </c>
      <c r="N28" s="398">
        <f>12/1000</f>
        <v>1.2E-2</v>
      </c>
      <c r="O28" s="399">
        <f>38.5/1000</f>
        <v>3.85E-2</v>
      </c>
      <c r="P28" s="400">
        <f t="shared" si="6"/>
        <v>939.5385</v>
      </c>
      <c r="Q28" s="439">
        <f>P28+P27+P26</f>
        <v>2209.642797</v>
      </c>
      <c r="R28" s="439">
        <v>49</v>
      </c>
      <c r="S28" s="899"/>
      <c r="T28" s="419">
        <f t="shared" si="17"/>
        <v>0.22500000000000001</v>
      </c>
      <c r="U28" s="420">
        <f t="shared" si="14"/>
        <v>-0.22544171714554445</v>
      </c>
      <c r="AD28" s="397">
        <f t="shared" si="1"/>
        <v>11429</v>
      </c>
      <c r="AE28" s="398">
        <f t="shared" si="2"/>
        <v>0.124</v>
      </c>
      <c r="AF28" s="399">
        <f t="shared" si="3"/>
        <v>0.44450000000000001</v>
      </c>
      <c r="AG28" s="400">
        <f t="shared" si="7"/>
        <v>11550.264499999999</v>
      </c>
      <c r="AH28" s="439">
        <f>AG28+AG27+AG26</f>
        <v>25365.147574999999</v>
      </c>
      <c r="AI28" s="439">
        <f t="shared" si="4"/>
        <v>129</v>
      </c>
      <c r="AJ28" s="899"/>
      <c r="AK28" s="419">
        <f t="shared" si="18"/>
        <v>0.26470588235294118</v>
      </c>
      <c r="AL28" s="420">
        <f t="shared" si="15"/>
        <v>-0.16542499079875028</v>
      </c>
      <c r="AN28" s="129" t="s">
        <v>366</v>
      </c>
      <c r="AS28" s="202"/>
      <c r="BI28" s="50" t="s">
        <v>318</v>
      </c>
      <c r="BJ28" s="50">
        <f t="shared" si="0"/>
        <v>2017.5833333333314</v>
      </c>
      <c r="BK28" s="431">
        <v>52056.800000000003</v>
      </c>
      <c r="BM28" s="162">
        <f t="shared" si="19"/>
        <v>-2.7842465689469281E-2</v>
      </c>
      <c r="BT28" s="432" t="s">
        <v>318</v>
      </c>
      <c r="BU28" s="433">
        <v>45161.4</v>
      </c>
      <c r="BW28" s="162">
        <f t="shared" si="20"/>
        <v>0.1118732365931842</v>
      </c>
    </row>
    <row r="29" spans="1:75" ht="14.75" x14ac:dyDescent="0.75">
      <c r="A29" s="883"/>
      <c r="B29" s="396" t="s">
        <v>303</v>
      </c>
      <c r="C29" s="397">
        <f>C28+C27</f>
        <v>10500</v>
      </c>
      <c r="D29" s="398">
        <f>D28+D27</f>
        <v>0.112</v>
      </c>
      <c r="E29" s="399">
        <f>E28+E27</f>
        <v>0.40600000000000003</v>
      </c>
      <c r="F29" s="400">
        <f t="shared" si="5"/>
        <v>10610.726000000001</v>
      </c>
      <c r="G29" s="439">
        <f>F29+F26</f>
        <v>23155.504778000002</v>
      </c>
      <c r="H29" s="439">
        <f>H28+H27</f>
        <v>80</v>
      </c>
      <c r="I29" s="899"/>
      <c r="J29" s="450">
        <f t="shared" si="16"/>
        <v>0.29032258064516131</v>
      </c>
      <c r="K29" s="420">
        <f t="shared" si="13"/>
        <v>-0.15965941053309504</v>
      </c>
      <c r="M29" s="397">
        <f>M28+M27</f>
        <v>1117</v>
      </c>
      <c r="N29" s="398">
        <f>N28+N27</f>
        <v>1.455E-2</v>
      </c>
      <c r="O29" s="399">
        <f>O28+O27</f>
        <v>4.6519999999999999E-2</v>
      </c>
      <c r="P29" s="400">
        <f t="shared" si="6"/>
        <v>1129.7352000000001</v>
      </c>
      <c r="Q29" s="439">
        <f>P29+P26</f>
        <v>2209.642797</v>
      </c>
      <c r="R29" s="439">
        <f>R28+R27</f>
        <v>55</v>
      </c>
      <c r="S29" s="899"/>
      <c r="T29" s="419">
        <f t="shared" si="17"/>
        <v>0.14583333333333334</v>
      </c>
      <c r="U29" s="420">
        <f t="shared" si="14"/>
        <v>-0.22504950487714501</v>
      </c>
      <c r="AD29" s="397">
        <f t="shared" si="1"/>
        <v>11617</v>
      </c>
      <c r="AE29" s="398">
        <f t="shared" si="2"/>
        <v>0.12655</v>
      </c>
      <c r="AF29" s="399">
        <f t="shared" si="3"/>
        <v>0.45252000000000003</v>
      </c>
      <c r="AG29" s="400">
        <f t="shared" si="7"/>
        <v>11740.4612</v>
      </c>
      <c r="AH29" s="439">
        <f>AG29+AG26</f>
        <v>25365.147574999999</v>
      </c>
      <c r="AI29" s="439">
        <f t="shared" si="4"/>
        <v>135</v>
      </c>
      <c r="AJ29" s="899"/>
      <c r="AK29" s="419">
        <f t="shared" si="18"/>
        <v>0.22727272727272727</v>
      </c>
      <c r="AL29" s="420">
        <f t="shared" si="15"/>
        <v>-0.16642760503377749</v>
      </c>
      <c r="AN29" s="129" t="s">
        <v>65</v>
      </c>
      <c r="AS29" s="202"/>
      <c r="BI29" s="50" t="s">
        <v>319</v>
      </c>
      <c r="BJ29" s="50">
        <f t="shared" si="0"/>
        <v>2017.6666666666647</v>
      </c>
      <c r="BK29" s="431">
        <v>65984.7</v>
      </c>
      <c r="BM29" s="162">
        <f t="shared" si="19"/>
        <v>0.3300712156243007</v>
      </c>
      <c r="BT29" s="432" t="s">
        <v>319</v>
      </c>
      <c r="BU29" s="433">
        <v>44869.2</v>
      </c>
      <c r="BW29" s="162">
        <f t="shared" si="20"/>
        <v>-3.1580492268909105E-2</v>
      </c>
    </row>
    <row r="30" spans="1:75" ht="14.75" x14ac:dyDescent="0.75">
      <c r="A30" s="883"/>
      <c r="B30" s="396" t="s">
        <v>305</v>
      </c>
      <c r="C30" s="397">
        <f>C29+C26</f>
        <v>22906.5</v>
      </c>
      <c r="D30" s="442">
        <f>D29+D26</f>
        <v>0.270401</v>
      </c>
      <c r="E30" s="443">
        <f>E29+E26</f>
        <v>0.91107000000000005</v>
      </c>
      <c r="F30" s="400">
        <f t="shared" si="5"/>
        <v>23155.504778000002</v>
      </c>
      <c r="G30" s="439">
        <f>F30</f>
        <v>23155.504778000002</v>
      </c>
      <c r="H30" s="439">
        <f>H29+H26</f>
        <v>540</v>
      </c>
      <c r="I30" s="899"/>
      <c r="J30" s="450">
        <f t="shared" si="16"/>
        <v>0.20535714285714285</v>
      </c>
      <c r="K30" s="420">
        <f t="shared" si="13"/>
        <v>1.201474363489511E-2</v>
      </c>
      <c r="M30" s="397">
        <f>M29+M26</f>
        <v>2184.85</v>
      </c>
      <c r="N30" s="442">
        <f>N29+N26</f>
        <v>4.7669000000000003E-2</v>
      </c>
      <c r="O30" s="443">
        <f>O29+O26</f>
        <v>8.8521000000000002E-2</v>
      </c>
      <c r="P30" s="400">
        <f t="shared" si="6"/>
        <v>2209.6427969999995</v>
      </c>
      <c r="Q30" s="439">
        <f>P30</f>
        <v>2209.6427969999995</v>
      </c>
      <c r="R30" s="439">
        <f>R29+R26</f>
        <v>177</v>
      </c>
      <c r="S30" s="899"/>
      <c r="T30" s="419">
        <f t="shared" si="17"/>
        <v>9.9378881987577633E-2</v>
      </c>
      <c r="U30" s="420">
        <f t="shared" si="14"/>
        <v>-0.1534072081350977</v>
      </c>
      <c r="AD30" s="397">
        <f t="shared" si="1"/>
        <v>25091.35</v>
      </c>
      <c r="AE30" s="398">
        <f t="shared" si="2"/>
        <v>0.31807000000000002</v>
      </c>
      <c r="AF30" s="399">
        <f t="shared" si="3"/>
        <v>0.99959100000000001</v>
      </c>
      <c r="AG30" s="400">
        <f t="shared" si="7"/>
        <v>25365.147574999999</v>
      </c>
      <c r="AH30" s="439">
        <f>AG30</f>
        <v>25365.147574999999</v>
      </c>
      <c r="AI30" s="439">
        <f t="shared" si="4"/>
        <v>717</v>
      </c>
      <c r="AJ30" s="899"/>
      <c r="AK30" s="419">
        <f t="shared" si="18"/>
        <v>0.17733990147783252</v>
      </c>
      <c r="AL30" s="420">
        <f t="shared" si="15"/>
        <v>-4.9231682178763553E-3</v>
      </c>
      <c r="AO30" s="50" t="s">
        <v>297</v>
      </c>
      <c r="AP30" s="50" t="s">
        <v>303</v>
      </c>
      <c r="AQ30" s="129" t="s">
        <v>340</v>
      </c>
      <c r="AR30" s="50" t="s">
        <v>218</v>
      </c>
      <c r="AS30" s="202"/>
      <c r="BI30" s="50" t="s">
        <v>320</v>
      </c>
      <c r="BJ30" s="50">
        <f t="shared" si="0"/>
        <v>2017.749999999998</v>
      </c>
      <c r="BK30" s="431">
        <v>62654.6</v>
      </c>
      <c r="BM30" s="162">
        <f t="shared" si="19"/>
        <v>0.31556557817644293</v>
      </c>
      <c r="BT30" s="432" t="s">
        <v>320</v>
      </c>
      <c r="BU30" s="433">
        <v>55768.6</v>
      </c>
      <c r="BW30" s="162">
        <f t="shared" si="20"/>
        <v>0.13449966434078561</v>
      </c>
    </row>
    <row r="31" spans="1:75" ht="14.75" x14ac:dyDescent="0.75">
      <c r="A31" s="883"/>
      <c r="B31" s="396" t="s">
        <v>35</v>
      </c>
      <c r="C31" s="397">
        <v>2080</v>
      </c>
      <c r="D31" s="398">
        <f>26.4/1000</f>
        <v>2.64E-2</v>
      </c>
      <c r="E31" s="399">
        <f>84.6/1000</f>
        <v>8.4599999999999995E-2</v>
      </c>
      <c r="F31" s="400">
        <f t="shared" si="5"/>
        <v>2103.1581999999999</v>
      </c>
      <c r="G31" s="439">
        <f>F30+F31</f>
        <v>25258.662978</v>
      </c>
      <c r="H31" s="439">
        <v>112</v>
      </c>
      <c r="I31" s="899"/>
      <c r="J31" s="450">
        <f t="shared" si="16"/>
        <v>0.6</v>
      </c>
      <c r="K31" s="420">
        <f t="shared" si="13"/>
        <v>1.8736265290550832E-2</v>
      </c>
      <c r="M31" s="397">
        <v>5740</v>
      </c>
      <c r="N31" s="398">
        <f>75.3/1000</f>
        <v>7.5299999999999992E-2</v>
      </c>
      <c r="O31" s="399">
        <f>238/1000</f>
        <v>0.23799999999999999</v>
      </c>
      <c r="P31" s="400">
        <f t="shared" si="6"/>
        <v>5805.1783999999998</v>
      </c>
      <c r="Q31" s="439">
        <f>P30+P31</f>
        <v>8014.8211969999993</v>
      </c>
      <c r="R31" s="439">
        <v>356</v>
      </c>
      <c r="S31" s="899"/>
      <c r="T31" s="419">
        <f t="shared" si="17"/>
        <v>-0.30604288499025339</v>
      </c>
      <c r="U31" s="420">
        <f t="shared" si="14"/>
        <v>-6.5400114788844069E-2</v>
      </c>
      <c r="AD31" s="397">
        <f t="shared" si="1"/>
        <v>7820</v>
      </c>
      <c r="AE31" s="398">
        <f t="shared" si="2"/>
        <v>0.10169999999999998</v>
      </c>
      <c r="AF31" s="399">
        <f t="shared" si="3"/>
        <v>0.3226</v>
      </c>
      <c r="AG31" s="400">
        <f t="shared" si="7"/>
        <v>7908.3365999999996</v>
      </c>
      <c r="AH31" s="439">
        <f>AG30+AG31</f>
        <v>33273.484174999998</v>
      </c>
      <c r="AI31" s="439">
        <f t="shared" si="4"/>
        <v>468</v>
      </c>
      <c r="AJ31" s="899"/>
      <c r="AK31" s="419">
        <f t="shared" si="18"/>
        <v>-0.19725557461406518</v>
      </c>
      <c r="AL31" s="420">
        <f t="shared" si="15"/>
        <v>-4.4411698155312297E-2</v>
      </c>
      <c r="AN31" s="50">
        <v>2017</v>
      </c>
      <c r="AO31" s="202">
        <f>AL26</f>
        <v>0.19450568855047948</v>
      </c>
      <c r="AP31" s="202">
        <f>AL29</f>
        <v>-0.16642760503377749</v>
      </c>
      <c r="AQ31" s="202">
        <f>AL30</f>
        <v>-4.9231682178763553E-3</v>
      </c>
      <c r="AR31" s="202">
        <f>AL34</f>
        <v>-0.10158177291492375</v>
      </c>
      <c r="AS31" s="202"/>
      <c r="BI31" s="50" t="s">
        <v>321</v>
      </c>
      <c r="BJ31" s="50">
        <f t="shared" si="0"/>
        <v>2017.8333333333312</v>
      </c>
      <c r="BK31" s="431">
        <v>56669.9</v>
      </c>
      <c r="BM31" s="162">
        <f t="shared" si="19"/>
        <v>7.6564031641577879E-2</v>
      </c>
      <c r="BT31" s="432" t="s">
        <v>321</v>
      </c>
      <c r="BU31" s="433">
        <v>45789.1</v>
      </c>
      <c r="BW31" s="162">
        <f t="shared" si="20"/>
        <v>0.11639343462911315</v>
      </c>
    </row>
    <row r="32" spans="1:75" ht="14.75" x14ac:dyDescent="0.75">
      <c r="A32" s="883"/>
      <c r="B32" s="396" t="s">
        <v>308</v>
      </c>
      <c r="C32" s="397">
        <v>0</v>
      </c>
      <c r="D32" s="398">
        <v>0</v>
      </c>
      <c r="E32" s="399">
        <v>0</v>
      </c>
      <c r="F32" s="400">
        <f t="shared" si="5"/>
        <v>0</v>
      </c>
      <c r="G32" s="439">
        <f>SUM(F30:F32)</f>
        <v>25258.662978</v>
      </c>
      <c r="H32" s="439">
        <v>0</v>
      </c>
      <c r="I32" s="899"/>
      <c r="J32" s="450" t="e">
        <f t="shared" si="16"/>
        <v>#DIV/0!</v>
      </c>
      <c r="K32" s="420" t="e">
        <f t="shared" si="13"/>
        <v>#DIV/0!</v>
      </c>
      <c r="M32" s="397">
        <v>837</v>
      </c>
      <c r="N32" s="398">
        <f>9.9/1000</f>
        <v>9.9000000000000008E-3</v>
      </c>
      <c r="O32" s="399">
        <f>36.2/1000</f>
        <v>3.6200000000000003E-2</v>
      </c>
      <c r="P32" s="400">
        <f t="shared" si="6"/>
        <v>846.87019999999995</v>
      </c>
      <c r="Q32" s="439">
        <f>SUM(P30:P32)</f>
        <v>8861.6913969999987</v>
      </c>
      <c r="R32" s="439">
        <v>5375</v>
      </c>
      <c r="S32" s="899"/>
      <c r="T32" s="419">
        <f t="shared" si="17"/>
        <v>-4.1376850365614413E-2</v>
      </c>
      <c r="U32" s="420">
        <f t="shared" si="14"/>
        <v>-0.80229762106807867</v>
      </c>
      <c r="AD32" s="397">
        <f t="shared" si="1"/>
        <v>837</v>
      </c>
      <c r="AE32" s="398">
        <f t="shared" si="2"/>
        <v>9.9000000000000008E-3</v>
      </c>
      <c r="AF32" s="399">
        <f t="shared" si="3"/>
        <v>3.6200000000000003E-2</v>
      </c>
      <c r="AG32" s="400">
        <f t="shared" si="7"/>
        <v>846.87019999999995</v>
      </c>
      <c r="AH32" s="439">
        <f>SUM(AG30:AG32)</f>
        <v>34120.354374999995</v>
      </c>
      <c r="AI32" s="439">
        <f t="shared" si="4"/>
        <v>5375</v>
      </c>
      <c r="AJ32" s="899"/>
      <c r="AK32" s="419">
        <f t="shared" si="18"/>
        <v>-4.1376850365614413E-2</v>
      </c>
      <c r="AL32" s="420">
        <f t="shared" si="15"/>
        <v>-0.80229762106807867</v>
      </c>
      <c r="AN32" s="50">
        <v>2018</v>
      </c>
      <c r="AO32" s="202">
        <f>AL39</f>
        <v>6.6143747914344159E-2</v>
      </c>
      <c r="AP32" s="202">
        <f>AL42</f>
        <v>0.23491809444419443</v>
      </c>
      <c r="AQ32" s="202">
        <f>AL43</f>
        <v>0.14426230256221947</v>
      </c>
      <c r="AR32" s="202">
        <f>AL47</f>
        <v>0.15505645364164353</v>
      </c>
      <c r="BI32" s="50" t="s">
        <v>322</v>
      </c>
      <c r="BJ32" s="50">
        <f t="shared" si="0"/>
        <v>2017.9166666666645</v>
      </c>
      <c r="BK32" s="431">
        <v>66853.399999999994</v>
      </c>
      <c r="BM32" s="162">
        <f t="shared" si="19"/>
        <v>0.35189559084033672</v>
      </c>
      <c r="BT32" s="432" t="s">
        <v>322</v>
      </c>
      <c r="BU32" s="433">
        <v>43211.7</v>
      </c>
      <c r="BW32" s="162">
        <f t="shared" si="20"/>
        <v>4.0852015020823453E-2</v>
      </c>
    </row>
    <row r="33" spans="1:75" ht="15.5" thickBot="1" x14ac:dyDescent="0.9">
      <c r="A33" s="898"/>
      <c r="B33" s="396" t="s">
        <v>310</v>
      </c>
      <c r="C33" s="405">
        <v>646</v>
      </c>
      <c r="D33" s="406">
        <f>6.56/1000</f>
        <v>6.5599999999999999E-3</v>
      </c>
      <c r="E33" s="407">
        <f>22.8/1000</f>
        <v>2.2800000000000001E-2</v>
      </c>
      <c r="F33" s="444">
        <f t="shared" si="5"/>
        <v>652.22568000000001</v>
      </c>
      <c r="G33" s="439">
        <f>SUM(F30:F33)</f>
        <v>25910.888658</v>
      </c>
      <c r="H33" s="439">
        <v>31</v>
      </c>
      <c r="I33" s="899"/>
      <c r="J33" s="451">
        <f t="shared" si="16"/>
        <v>3.3333333333333333E-2</v>
      </c>
      <c r="K33" s="424">
        <f t="shared" si="13"/>
        <v>-0.17322835783529236</v>
      </c>
      <c r="M33" s="405">
        <v>1170</v>
      </c>
      <c r="N33" s="406">
        <f>7.2/1000</f>
        <v>7.1999999999999998E-3</v>
      </c>
      <c r="O33" s="407">
        <f>36.2/1000</f>
        <v>3.6200000000000003E-2</v>
      </c>
      <c r="P33" s="444">
        <f t="shared" si="6"/>
        <v>1179.7946000000002</v>
      </c>
      <c r="Q33" s="439">
        <f>SUM(P30:P33)</f>
        <v>10041.485997</v>
      </c>
      <c r="R33" s="439">
        <v>30</v>
      </c>
      <c r="S33" s="899"/>
      <c r="T33" s="423">
        <f t="shared" si="17"/>
        <v>-0.73684210526315785</v>
      </c>
      <c r="U33" s="424">
        <f t="shared" si="14"/>
        <v>1.1442355390383909E-3</v>
      </c>
      <c r="AD33" s="405">
        <f t="shared" si="1"/>
        <v>1816</v>
      </c>
      <c r="AE33" s="406">
        <f t="shared" si="2"/>
        <v>1.376E-2</v>
      </c>
      <c r="AF33" s="407">
        <f t="shared" si="3"/>
        <v>5.9000000000000004E-2</v>
      </c>
      <c r="AG33" s="444">
        <f t="shared" si="7"/>
        <v>1832.02028</v>
      </c>
      <c r="AH33" s="439">
        <f>SUM(AG30:AG33)</f>
        <v>35952.374654999992</v>
      </c>
      <c r="AI33" s="439">
        <f t="shared" si="4"/>
        <v>61</v>
      </c>
      <c r="AJ33" s="899"/>
      <c r="AK33" s="423">
        <f t="shared" si="18"/>
        <v>-0.57638888888888884</v>
      </c>
      <c r="AL33" s="424">
        <f t="shared" si="15"/>
        <v>-6.8777729606422505E-2</v>
      </c>
      <c r="AN33" s="50">
        <v>2019</v>
      </c>
      <c r="AO33" s="202">
        <f>AL52</f>
        <v>0.35562797137693192</v>
      </c>
      <c r="AP33" s="202">
        <f>AL55</f>
        <v>0.32678506380264771</v>
      </c>
      <c r="AQ33" s="202">
        <f>AL56</f>
        <v>0.34122011514780265</v>
      </c>
      <c r="AR33" s="202">
        <f>AL60</f>
        <v>0.22989198096049024</v>
      </c>
      <c r="BI33" s="50" t="s">
        <v>323</v>
      </c>
      <c r="BJ33" s="50">
        <f t="shared" si="0"/>
        <v>2017.9999999999977</v>
      </c>
      <c r="BK33" s="431">
        <v>51372.5</v>
      </c>
      <c r="BM33" s="162">
        <f t="shared" si="19"/>
        <v>0.10605274432844536</v>
      </c>
      <c r="BT33" s="432" t="s">
        <v>323</v>
      </c>
      <c r="BU33" s="433">
        <v>48365.2</v>
      </c>
      <c r="BW33" s="162">
        <f t="shared" si="20"/>
        <v>0.28311437485408658</v>
      </c>
    </row>
    <row r="34" spans="1:75" ht="15.5" thickBot="1" x14ac:dyDescent="0.9">
      <c r="A34" s="409" t="s">
        <v>21</v>
      </c>
      <c r="B34" s="410">
        <f>A22</f>
        <v>2017</v>
      </c>
      <c r="C34" s="411">
        <f>SUM(C30:C33)</f>
        <v>25632.5</v>
      </c>
      <c r="D34" s="445">
        <f>SUM(D30:D33)</f>
        <v>0.30336099999999999</v>
      </c>
      <c r="E34" s="445">
        <f>SUM(E30:E33)</f>
        <v>1.01847</v>
      </c>
      <c r="F34" s="412">
        <f t="shared" si="5"/>
        <v>25910.888658</v>
      </c>
      <c r="G34" s="412">
        <f>G33</f>
        <v>25910.888658</v>
      </c>
      <c r="H34" s="412">
        <f>SUM(H30:H33)</f>
        <v>683</v>
      </c>
      <c r="I34" s="900"/>
      <c r="J34" s="427">
        <f t="shared" si="16"/>
        <v>0.24635036496350365</v>
      </c>
      <c r="K34" s="428">
        <f t="shared" si="13"/>
        <v>6.8752855649656195E-3</v>
      </c>
      <c r="M34" s="411">
        <f>SUM(M30:M33)</f>
        <v>9931.85</v>
      </c>
      <c r="N34" s="445">
        <f>SUM(N30:N33)</f>
        <v>0.140069</v>
      </c>
      <c r="O34" s="445">
        <f>SUM(O30:O33)</f>
        <v>0.39892100000000003</v>
      </c>
      <c r="P34" s="412">
        <f t="shared" si="6"/>
        <v>10041.485997</v>
      </c>
      <c r="Q34" s="412">
        <f>Q33</f>
        <v>10041.485997</v>
      </c>
      <c r="R34" s="412">
        <f>SUM(R30:R33)</f>
        <v>5938</v>
      </c>
      <c r="S34" s="900"/>
      <c r="T34" s="427">
        <f t="shared" si="17"/>
        <v>-7.1462079749804536E-2</v>
      </c>
      <c r="U34" s="428">
        <f t="shared" si="14"/>
        <v>-0.29698476109718996</v>
      </c>
      <c r="AD34" s="411">
        <f t="shared" si="1"/>
        <v>35564.35</v>
      </c>
      <c r="AE34" s="411">
        <f t="shared" si="2"/>
        <v>0.44342999999999999</v>
      </c>
      <c r="AF34" s="411">
        <f t="shared" si="3"/>
        <v>1.4173910000000001</v>
      </c>
      <c r="AG34" s="412">
        <f t="shared" si="7"/>
        <v>35952.374654999992</v>
      </c>
      <c r="AH34" s="412">
        <f>AH33</f>
        <v>35952.374654999992</v>
      </c>
      <c r="AI34" s="412">
        <f t="shared" si="4"/>
        <v>6621</v>
      </c>
      <c r="AJ34" s="900"/>
      <c r="AK34" s="427">
        <f t="shared" si="18"/>
        <v>-4.6377646550482501E-2</v>
      </c>
      <c r="AL34" s="428">
        <f t="shared" si="15"/>
        <v>-0.10158177291492375</v>
      </c>
      <c r="AN34" s="50">
        <v>2020</v>
      </c>
      <c r="AO34" s="202">
        <f>AL65</f>
        <v>0.1084006533125252</v>
      </c>
      <c r="AP34" s="202">
        <f>AL68</f>
        <v>-0.95455951071173983</v>
      </c>
      <c r="AQ34" s="202">
        <f>AL69</f>
        <v>-0.41686358364648496</v>
      </c>
      <c r="AR34" s="202">
        <f>AL73</f>
        <v>-0.26435214805447493</v>
      </c>
      <c r="BI34" s="50" t="s">
        <v>324</v>
      </c>
      <c r="BJ34" s="50">
        <f t="shared" si="0"/>
        <v>2018.083333333331</v>
      </c>
      <c r="BK34" s="431">
        <v>60322.400000000001</v>
      </c>
      <c r="BM34" s="162">
        <f t="shared" si="19"/>
        <v>0.35547121648252133</v>
      </c>
      <c r="BT34" s="432" t="s">
        <v>324</v>
      </c>
      <c r="BU34" s="433">
        <v>46196.800000000003</v>
      </c>
      <c r="BW34" s="162">
        <f t="shared" si="20"/>
        <v>0.38133454532406813</v>
      </c>
    </row>
    <row r="35" spans="1:75" ht="15" customHeight="1" x14ac:dyDescent="0.75">
      <c r="A35" s="883">
        <v>2018</v>
      </c>
      <c r="B35" s="388" t="s">
        <v>289</v>
      </c>
      <c r="C35" s="389">
        <v>54.4</v>
      </c>
      <c r="D35" s="390">
        <v>6.9999999999999999E-4</v>
      </c>
      <c r="E35" s="391">
        <v>2.2000000000000001E-3</v>
      </c>
      <c r="F35" s="392">
        <f t="shared" si="5"/>
        <v>55.002599999999994</v>
      </c>
      <c r="G35" s="438">
        <f>F35</f>
        <v>55.002599999999994</v>
      </c>
      <c r="H35" s="438">
        <v>2</v>
      </c>
      <c r="I35" s="885" t="s">
        <v>245</v>
      </c>
      <c r="J35" s="449">
        <f t="shared" si="16"/>
        <v>0</v>
      </c>
      <c r="K35" s="416">
        <f t="shared" si="13"/>
        <v>0.58079286062618507</v>
      </c>
      <c r="M35" s="389">
        <v>0</v>
      </c>
      <c r="N35" s="390">
        <v>0</v>
      </c>
      <c r="O35" s="391">
        <v>0</v>
      </c>
      <c r="P35" s="392">
        <f t="shared" si="6"/>
        <v>0</v>
      </c>
      <c r="Q35" s="438">
        <f>P35</f>
        <v>0</v>
      </c>
      <c r="R35" s="438">
        <v>0</v>
      </c>
      <c r="S35" s="885" t="s">
        <v>245</v>
      </c>
      <c r="T35" s="415">
        <f t="shared" si="17"/>
        <v>-1</v>
      </c>
      <c r="U35" s="416">
        <f t="shared" si="14"/>
        <v>-1</v>
      </c>
      <c r="AD35" s="389">
        <f t="shared" si="1"/>
        <v>54.4</v>
      </c>
      <c r="AE35" s="390">
        <f t="shared" si="2"/>
        <v>6.9999999999999999E-4</v>
      </c>
      <c r="AF35" s="391">
        <f t="shared" si="3"/>
        <v>2.2000000000000001E-3</v>
      </c>
      <c r="AG35" s="392">
        <f t="shared" si="7"/>
        <v>55.002599999999994</v>
      </c>
      <c r="AH35" s="438">
        <f>AG35</f>
        <v>55.002599999999994</v>
      </c>
      <c r="AI35" s="438">
        <f t="shared" si="4"/>
        <v>2</v>
      </c>
      <c r="AJ35" s="885" t="s">
        <v>245</v>
      </c>
      <c r="AK35" s="415">
        <f t="shared" si="18"/>
        <v>-0.33333333333333331</v>
      </c>
      <c r="AL35" s="416">
        <f t="shared" si="15"/>
        <v>0.25444442906238857</v>
      </c>
      <c r="BI35" s="50" t="s">
        <v>325</v>
      </c>
      <c r="BJ35" s="50">
        <f t="shared" si="0"/>
        <v>2018.1666666666642</v>
      </c>
      <c r="BK35" s="431">
        <v>57062.7</v>
      </c>
      <c r="BM35" s="162">
        <f t="shared" si="19"/>
        <v>2.1552557520032548E-2</v>
      </c>
      <c r="BT35" s="432" t="s">
        <v>325</v>
      </c>
      <c r="BU35" s="433">
        <v>45685</v>
      </c>
      <c r="BW35" s="162">
        <f t="shared" si="20"/>
        <v>0.15291338701903065</v>
      </c>
    </row>
    <row r="36" spans="1:75" ht="14.75" x14ac:dyDescent="0.75">
      <c r="A36" s="883"/>
      <c r="B36" s="396" t="s">
        <v>291</v>
      </c>
      <c r="C36" s="397">
        <v>11800</v>
      </c>
      <c r="D36" s="398">
        <v>0.14899999999999999</v>
      </c>
      <c r="E36" s="399">
        <v>0.47699999999999998</v>
      </c>
      <c r="F36" s="400">
        <f t="shared" si="5"/>
        <v>11930.577000000001</v>
      </c>
      <c r="G36" s="439">
        <f>F36+F35</f>
        <v>11985.579600000001</v>
      </c>
      <c r="H36" s="439">
        <v>263</v>
      </c>
      <c r="I36" s="886"/>
      <c r="J36" s="450">
        <f t="shared" si="16"/>
        <v>-5.7347670250896057E-2</v>
      </c>
      <c r="K36" s="420">
        <f t="shared" si="13"/>
        <v>0.10278860768163721</v>
      </c>
      <c r="M36" s="397">
        <v>86.7</v>
      </c>
      <c r="N36" s="398">
        <v>1.0399999999999999E-3</v>
      </c>
      <c r="O36" s="399">
        <v>3.48E-3</v>
      </c>
      <c r="P36" s="400">
        <f t="shared" si="6"/>
        <v>87.651320000000013</v>
      </c>
      <c r="Q36" s="439">
        <f>P36+P35</f>
        <v>87.651320000000013</v>
      </c>
      <c r="R36" s="439">
        <v>6</v>
      </c>
      <c r="S36" s="886"/>
      <c r="T36" s="419">
        <f t="shared" si="17"/>
        <v>0.2</v>
      </c>
      <c r="U36" s="420">
        <f t="shared" si="14"/>
        <v>2.4870837818415668E-2</v>
      </c>
      <c r="AD36" s="397">
        <f t="shared" si="1"/>
        <v>11886.7</v>
      </c>
      <c r="AE36" s="398">
        <f t="shared" si="2"/>
        <v>0.15004000000000001</v>
      </c>
      <c r="AF36" s="399">
        <f t="shared" si="3"/>
        <v>0.48047999999999996</v>
      </c>
      <c r="AG36" s="400">
        <f t="shared" si="7"/>
        <v>12018.22832</v>
      </c>
      <c r="AH36" s="439">
        <f>AG36+AG35</f>
        <v>12073.23092</v>
      </c>
      <c r="AI36" s="439">
        <f t="shared" si="4"/>
        <v>269</v>
      </c>
      <c r="AJ36" s="886"/>
      <c r="AK36" s="419">
        <f t="shared" si="18"/>
        <v>-5.2816901408450703E-2</v>
      </c>
      <c r="AL36" s="420">
        <f t="shared" si="15"/>
        <v>0.10217747301618076</v>
      </c>
      <c r="BI36" s="50" t="s">
        <v>326</v>
      </c>
      <c r="BJ36" s="50">
        <f t="shared" ref="BJ36:BJ64" si="21">BJ35+$BJ$2</f>
        <v>2018.2499999999975</v>
      </c>
      <c r="BK36" s="431">
        <v>62465.7</v>
      </c>
      <c r="BM36" s="162">
        <f t="shared" si="19"/>
        <v>0.20351078648784549</v>
      </c>
      <c r="BT36" s="432" t="s">
        <v>326</v>
      </c>
      <c r="BU36" s="433">
        <v>44121.1</v>
      </c>
      <c r="BW36" s="162">
        <f t="shared" si="20"/>
        <v>6.7699977010659759E-2</v>
      </c>
    </row>
    <row r="37" spans="1:75" ht="14.75" x14ac:dyDescent="0.75">
      <c r="A37" s="883"/>
      <c r="B37" s="396" t="s">
        <v>293</v>
      </c>
      <c r="C37" s="397">
        <v>1330</v>
      </c>
      <c r="D37" s="398">
        <v>1.7600000000000001E-2</v>
      </c>
      <c r="E37" s="399">
        <v>5.6599999999999998E-2</v>
      </c>
      <c r="F37" s="400">
        <f t="shared" si="5"/>
        <v>1345.4918</v>
      </c>
      <c r="G37" s="439">
        <f>F37+F36+F35</f>
        <v>13331.071400000001</v>
      </c>
      <c r="H37" s="439">
        <v>161</v>
      </c>
      <c r="I37" s="886"/>
      <c r="J37" s="450">
        <f t="shared" si="16"/>
        <v>-7.4712643678160925E-2</v>
      </c>
      <c r="K37" s="420">
        <f t="shared" si="13"/>
        <v>-0.17386910249157195</v>
      </c>
      <c r="M37" s="397">
        <v>21.4</v>
      </c>
      <c r="N37" s="398">
        <v>2.8699999999999998E-4</v>
      </c>
      <c r="O37" s="399">
        <v>9.1600000000000004E-4</v>
      </c>
      <c r="P37" s="400">
        <f t="shared" si="6"/>
        <v>21.650776</v>
      </c>
      <c r="Q37" s="439">
        <f>P37+P36+P35</f>
        <v>109.30209600000001</v>
      </c>
      <c r="R37" s="439">
        <v>5</v>
      </c>
      <c r="S37" s="886"/>
      <c r="T37" s="419">
        <f t="shared" si="17"/>
        <v>-0.375</v>
      </c>
      <c r="U37" s="420">
        <f t="shared" si="14"/>
        <v>-0.68429744175190355</v>
      </c>
      <c r="AD37" s="397">
        <f t="shared" si="1"/>
        <v>1351.4</v>
      </c>
      <c r="AE37" s="398">
        <f t="shared" si="2"/>
        <v>1.7887E-2</v>
      </c>
      <c r="AF37" s="399">
        <f t="shared" si="3"/>
        <v>5.7515999999999998E-2</v>
      </c>
      <c r="AG37" s="400">
        <f t="shared" si="7"/>
        <v>1367.142576</v>
      </c>
      <c r="AH37" s="439">
        <f>AG37+AG36+AG35</f>
        <v>13440.373496</v>
      </c>
      <c r="AI37" s="439">
        <f t="shared" si="4"/>
        <v>166</v>
      </c>
      <c r="AJ37" s="886"/>
      <c r="AK37" s="419">
        <f t="shared" si="18"/>
        <v>-8.7912087912087919E-2</v>
      </c>
      <c r="AL37" s="420">
        <f t="shared" si="15"/>
        <v>-0.19449369052257495</v>
      </c>
      <c r="BI37" s="50" t="s">
        <v>327</v>
      </c>
      <c r="BJ37" s="50">
        <f t="shared" si="21"/>
        <v>2018.3333333333308</v>
      </c>
      <c r="BK37" s="431">
        <v>69336.2</v>
      </c>
      <c r="BM37" s="162">
        <f t="shared" si="19"/>
        <v>-5.2483847339594047E-2</v>
      </c>
      <c r="BT37" s="432" t="s">
        <v>327</v>
      </c>
      <c r="BU37" s="433">
        <v>52417.3</v>
      </c>
      <c r="BW37" s="162">
        <f t="shared" si="20"/>
        <v>6.7629524470995142E-2</v>
      </c>
    </row>
    <row r="38" spans="1:75" ht="14.75" x14ac:dyDescent="0.75">
      <c r="A38" s="883"/>
      <c r="B38" s="396" t="s">
        <v>295</v>
      </c>
      <c r="C38" s="397">
        <v>125</v>
      </c>
      <c r="D38" s="398">
        <v>1.5499999999999999E-3</v>
      </c>
      <c r="E38" s="399">
        <v>5.0200000000000002E-3</v>
      </c>
      <c r="F38" s="400">
        <f t="shared" si="5"/>
        <v>126.3737</v>
      </c>
      <c r="G38" s="439">
        <f>SUM(F35:F38)</f>
        <v>13457.445100000001</v>
      </c>
      <c r="H38" s="439">
        <v>9</v>
      </c>
      <c r="I38" s="886"/>
      <c r="J38" s="450">
        <f t="shared" si="16"/>
        <v>0.8</v>
      </c>
      <c r="K38" s="420">
        <f t="shared" si="13"/>
        <v>1.0134465036538118</v>
      </c>
      <c r="M38" s="397">
        <v>949</v>
      </c>
      <c r="N38" s="398">
        <v>1.15E-2</v>
      </c>
      <c r="O38" s="399">
        <v>3.6999999999999998E-2</v>
      </c>
      <c r="P38" s="400">
        <f t="shared" si="6"/>
        <v>959.12699999999995</v>
      </c>
      <c r="Q38" s="439">
        <f>SUM(P35:P38)</f>
        <v>1068.4290959999998</v>
      </c>
      <c r="R38" s="439">
        <v>112</v>
      </c>
      <c r="S38" s="886"/>
      <c r="T38" s="419">
        <f t="shared" si="17"/>
        <v>3.7037037037037035E-2</v>
      </c>
      <c r="U38" s="420">
        <f t="shared" si="14"/>
        <v>4.6223198034626115E-2</v>
      </c>
      <c r="AD38" s="397">
        <f t="shared" si="1"/>
        <v>1074</v>
      </c>
      <c r="AE38" s="398">
        <f t="shared" si="2"/>
        <v>1.3049999999999999E-2</v>
      </c>
      <c r="AF38" s="399">
        <f t="shared" si="3"/>
        <v>4.2020000000000002E-2</v>
      </c>
      <c r="AG38" s="400">
        <f t="shared" si="7"/>
        <v>1085.5006999999998</v>
      </c>
      <c r="AH38" s="439">
        <f>SUM(AG35:AG38)</f>
        <v>14525.874196000001</v>
      </c>
      <c r="AI38" s="439">
        <f t="shared" si="4"/>
        <v>121</v>
      </c>
      <c r="AJ38" s="886"/>
      <c r="AK38" s="419">
        <f t="shared" si="18"/>
        <v>7.0796460176991149E-2</v>
      </c>
      <c r="AL38" s="420">
        <f t="shared" si="15"/>
        <v>0.10820033765510208</v>
      </c>
      <c r="AN38" s="129" t="s">
        <v>350</v>
      </c>
      <c r="AR38" s="129"/>
      <c r="BI38" s="50" t="s">
        <v>328</v>
      </c>
      <c r="BJ38" s="50">
        <f t="shared" si="21"/>
        <v>2018.416666666664</v>
      </c>
      <c r="BK38" s="431">
        <v>70628.399999999994</v>
      </c>
      <c r="BM38" s="162">
        <f t="shared" si="19"/>
        <v>0.17777796306332588</v>
      </c>
      <c r="BT38" s="432" t="s">
        <v>328</v>
      </c>
      <c r="BU38" s="433">
        <v>50449.3</v>
      </c>
      <c r="BW38" s="162">
        <f t="shared" si="20"/>
        <v>0.12169379224475282</v>
      </c>
    </row>
    <row r="39" spans="1:75" ht="14.75" x14ac:dyDescent="0.75">
      <c r="A39" s="883"/>
      <c r="B39" s="440" t="s">
        <v>297</v>
      </c>
      <c r="C39" s="397">
        <f>SUM(C35:C38)</f>
        <v>13309.4</v>
      </c>
      <c r="D39" s="398">
        <f>SUM(D35:D38)</f>
        <v>0.16885</v>
      </c>
      <c r="E39" s="399">
        <f>SUM(E35:E38)</f>
        <v>0.54081999999999997</v>
      </c>
      <c r="F39" s="400">
        <f t="shared" si="5"/>
        <v>13457.445100000001</v>
      </c>
      <c r="G39" s="439">
        <f>SUM(F39)</f>
        <v>13457.445100000001</v>
      </c>
      <c r="H39" s="439">
        <f>SUM(H35:H38)</f>
        <v>435</v>
      </c>
      <c r="I39" s="886"/>
      <c r="J39" s="450">
        <f t="shared" si="16"/>
        <v>-5.434782608695652E-2</v>
      </c>
      <c r="K39" s="420">
        <f t="shared" si="13"/>
        <v>7.2752683658364709E-2</v>
      </c>
      <c r="M39" s="397">
        <f>SUM(M35:M38)</f>
        <v>1057.0999999999999</v>
      </c>
      <c r="N39" s="398">
        <f>SUM(N35:N38)</f>
        <v>1.2827E-2</v>
      </c>
      <c r="O39" s="399">
        <f>SUM(O35:O38)</f>
        <v>4.1395999999999995E-2</v>
      </c>
      <c r="P39" s="400">
        <f t="shared" si="6"/>
        <v>1068.4290959999998</v>
      </c>
      <c r="Q39" s="439">
        <f>SUM(P39)</f>
        <v>1068.4290959999998</v>
      </c>
      <c r="R39" s="439">
        <f>SUM(R35:R38)</f>
        <v>123</v>
      </c>
      <c r="S39" s="886"/>
      <c r="T39" s="419">
        <f t="shared" si="17"/>
        <v>8.1967213114754103E-3</v>
      </c>
      <c r="U39" s="420">
        <f t="shared" si="14"/>
        <v>-1.0629151079117792E-2</v>
      </c>
      <c r="AD39" s="397">
        <f t="shared" si="1"/>
        <v>14366.5</v>
      </c>
      <c r="AE39" s="398">
        <f t="shared" si="2"/>
        <v>0.18167700000000001</v>
      </c>
      <c r="AF39" s="399">
        <f t="shared" si="3"/>
        <v>0.58221599999999996</v>
      </c>
      <c r="AG39" s="400">
        <f t="shared" si="7"/>
        <v>14525.874195999999</v>
      </c>
      <c r="AH39" s="439">
        <f>SUM(AG39)</f>
        <v>14525.874195999999</v>
      </c>
      <c r="AI39" s="439">
        <f t="shared" si="4"/>
        <v>558</v>
      </c>
      <c r="AJ39" s="886"/>
      <c r="AK39" s="419">
        <f t="shared" si="18"/>
        <v>-4.1237113402061855E-2</v>
      </c>
      <c r="AL39" s="420">
        <f t="shared" si="15"/>
        <v>6.6143747914344159E-2</v>
      </c>
      <c r="BI39" s="50" t="s">
        <v>329</v>
      </c>
      <c r="BJ39" s="50">
        <f t="shared" si="21"/>
        <v>2018.4999999999973</v>
      </c>
      <c r="BK39" s="431">
        <v>68925.2</v>
      </c>
      <c r="BM39" s="162">
        <f t="shared" si="19"/>
        <v>0.14879928530474551</v>
      </c>
      <c r="BT39" s="432" t="s">
        <v>329</v>
      </c>
      <c r="BU39" s="433">
        <v>50469.8</v>
      </c>
      <c r="BW39" s="162">
        <f t="shared" si="20"/>
        <v>0.3057115729398161</v>
      </c>
    </row>
    <row r="40" spans="1:75" ht="14.75" x14ac:dyDescent="0.75">
      <c r="A40" s="883"/>
      <c r="B40" s="396" t="s">
        <v>299</v>
      </c>
      <c r="C40" s="397">
        <v>11.9</v>
      </c>
      <c r="D40" s="398">
        <v>1.46E-4</v>
      </c>
      <c r="E40" s="399">
        <v>4.8099999999999998E-4</v>
      </c>
      <c r="F40" s="400">
        <f t="shared" si="5"/>
        <v>12.031553000000001</v>
      </c>
      <c r="G40" s="439">
        <f>F39+F40</f>
        <v>13469.476653000002</v>
      </c>
      <c r="H40" s="439">
        <v>1</v>
      </c>
      <c r="I40" s="886"/>
      <c r="J40" s="450" t="e">
        <f t="shared" si="16"/>
        <v>#DIV/0!</v>
      </c>
      <c r="K40" s="420" t="e">
        <f t="shared" si="13"/>
        <v>#DIV/0!</v>
      </c>
      <c r="M40" s="397">
        <v>63.2</v>
      </c>
      <c r="N40" s="398">
        <v>8.1499999999999997E-4</v>
      </c>
      <c r="O40" s="399">
        <v>2.5999999999999999E-3</v>
      </c>
      <c r="P40" s="400">
        <f t="shared" si="6"/>
        <v>63.911820000000006</v>
      </c>
      <c r="Q40" s="439">
        <f>P39+P40</f>
        <v>1132.3409159999999</v>
      </c>
      <c r="R40" s="439">
        <v>4</v>
      </c>
      <c r="S40" s="886"/>
      <c r="T40" s="419">
        <f t="shared" si="17"/>
        <v>-0.33333333333333331</v>
      </c>
      <c r="U40" s="420">
        <f t="shared" si="14"/>
        <v>-0.66396987960358933</v>
      </c>
      <c r="AD40" s="397">
        <f t="shared" si="1"/>
        <v>75.100000000000009</v>
      </c>
      <c r="AE40" s="398">
        <f t="shared" si="2"/>
        <v>9.6099999999999994E-4</v>
      </c>
      <c r="AF40" s="399">
        <f t="shared" si="3"/>
        <v>3.081E-3</v>
      </c>
      <c r="AG40" s="400">
        <f t="shared" si="7"/>
        <v>75.943373000000008</v>
      </c>
      <c r="AH40" s="439">
        <f>AG39+AG40</f>
        <v>14601.817568999999</v>
      </c>
      <c r="AI40" s="439">
        <f t="shared" si="4"/>
        <v>5</v>
      </c>
      <c r="AJ40" s="886"/>
      <c r="AK40" s="419">
        <f t="shared" si="18"/>
        <v>-0.16666666666666666</v>
      </c>
      <c r="AL40" s="420">
        <f t="shared" si="15"/>
        <v>-0.60071140561324143</v>
      </c>
      <c r="AO40" s="50" t="s">
        <v>297</v>
      </c>
      <c r="AP40" s="50" t="s">
        <v>303</v>
      </c>
      <c r="AQ40" s="50" t="s">
        <v>340</v>
      </c>
      <c r="AR40" s="50" t="s">
        <v>218</v>
      </c>
      <c r="BI40" s="50" t="s">
        <v>330</v>
      </c>
      <c r="BJ40" s="50">
        <f t="shared" si="21"/>
        <v>2018.5833333333305</v>
      </c>
      <c r="BK40" s="431">
        <v>66549.600000000006</v>
      </c>
      <c r="BM40" s="162">
        <f t="shared" si="19"/>
        <v>0.27840358992485137</v>
      </c>
      <c r="BT40" s="432" t="s">
        <v>330</v>
      </c>
      <c r="BU40" s="433">
        <v>47773</v>
      </c>
      <c r="BW40" s="162">
        <f t="shared" si="20"/>
        <v>5.7828145274504299E-2</v>
      </c>
    </row>
    <row r="41" spans="1:75" ht="14.75" x14ac:dyDescent="0.75">
      <c r="A41" s="883"/>
      <c r="B41" s="396" t="s">
        <v>301</v>
      </c>
      <c r="C41" s="397">
        <v>12300</v>
      </c>
      <c r="D41" s="398">
        <v>0.13200000000000001</v>
      </c>
      <c r="E41" s="399">
        <v>0.47599999999999998</v>
      </c>
      <c r="F41" s="400">
        <f t="shared" si="5"/>
        <v>12429.835999999999</v>
      </c>
      <c r="G41" s="439">
        <f>F41+F40+F39</f>
        <v>25899.312653000001</v>
      </c>
      <c r="H41" s="439">
        <v>83</v>
      </c>
      <c r="I41" s="886"/>
      <c r="J41" s="450">
        <f t="shared" si="16"/>
        <v>3.7499999999999999E-2</v>
      </c>
      <c r="K41" s="420">
        <f t="shared" si="13"/>
        <v>0.17144067239131411</v>
      </c>
      <c r="M41" s="397">
        <v>1970</v>
      </c>
      <c r="N41" s="398">
        <v>2.6200000000000001E-2</v>
      </c>
      <c r="O41" s="399">
        <v>8.3000000000000004E-2</v>
      </c>
      <c r="P41" s="400">
        <f t="shared" si="6"/>
        <v>1992.7285999999999</v>
      </c>
      <c r="Q41" s="439">
        <f>P41+P40+P39</f>
        <v>3125.0695159999996</v>
      </c>
      <c r="R41" s="439">
        <v>62</v>
      </c>
      <c r="S41" s="886"/>
      <c r="T41" s="419">
        <f t="shared" si="17"/>
        <v>0.26530612244897961</v>
      </c>
      <c r="U41" s="420">
        <f t="shared" si="14"/>
        <v>1.1209653462843723</v>
      </c>
      <c r="AD41" s="397">
        <f t="shared" ref="AD41:AD73" si="22">M41+C41</f>
        <v>14270</v>
      </c>
      <c r="AE41" s="398">
        <f t="shared" ref="AE41:AE73" si="23">N41+D41</f>
        <v>0.15820000000000001</v>
      </c>
      <c r="AF41" s="399">
        <f t="shared" ref="AF41:AF73" si="24">O41+E41</f>
        <v>0.55899999999999994</v>
      </c>
      <c r="AG41" s="400">
        <f t="shared" si="7"/>
        <v>14422.5646</v>
      </c>
      <c r="AH41" s="439">
        <f>AG41+AG40+AG39</f>
        <v>29024.382168999997</v>
      </c>
      <c r="AI41" s="439">
        <f t="shared" ref="AI41:AI73" si="25">R41+H41</f>
        <v>145</v>
      </c>
      <c r="AJ41" s="886"/>
      <c r="AK41" s="419">
        <f t="shared" si="18"/>
        <v>0.12403100775193798</v>
      </c>
      <c r="AL41" s="420">
        <f t="shared" si="15"/>
        <v>0.24867829650134857</v>
      </c>
      <c r="AN41" s="50">
        <v>2017</v>
      </c>
      <c r="AO41" s="202">
        <f>AK26</f>
        <v>0.16633266533066132</v>
      </c>
      <c r="AP41" s="202">
        <f>AK29</f>
        <v>0.22727272727272727</v>
      </c>
      <c r="AQ41" s="202">
        <f>AK30</f>
        <v>0.17733990147783252</v>
      </c>
      <c r="AR41" s="202">
        <f>AK34</f>
        <v>-4.6377646550482501E-2</v>
      </c>
      <c r="BI41" s="50" t="s">
        <v>331</v>
      </c>
      <c r="BJ41" s="50">
        <f t="shared" si="21"/>
        <v>2018.6666666666638</v>
      </c>
      <c r="BK41" s="431">
        <v>63039.9</v>
      </c>
      <c r="BM41" s="162">
        <f t="shared" si="19"/>
        <v>-4.4628527522289192E-2</v>
      </c>
      <c r="BT41" s="432" t="s">
        <v>331</v>
      </c>
      <c r="BU41" s="433">
        <v>48786.8</v>
      </c>
      <c r="BW41" s="162">
        <f t="shared" si="20"/>
        <v>8.7311563388694391E-2</v>
      </c>
    </row>
    <row r="42" spans="1:75" ht="14.75" x14ac:dyDescent="0.75">
      <c r="A42" s="883"/>
      <c r="B42" s="396" t="s">
        <v>303</v>
      </c>
      <c r="C42" s="397">
        <f>C41+C40</f>
        <v>12311.9</v>
      </c>
      <c r="D42" s="398">
        <f>D41+D40</f>
        <v>0.13214600000000001</v>
      </c>
      <c r="E42" s="399">
        <f>E41+E40</f>
        <v>0.47648099999999999</v>
      </c>
      <c r="F42" s="400">
        <f t="shared" si="5"/>
        <v>12441.867553</v>
      </c>
      <c r="G42" s="439">
        <f>F42+F39</f>
        <v>25899.312653000001</v>
      </c>
      <c r="H42" s="439">
        <f>H41+H40</f>
        <v>84</v>
      </c>
      <c r="I42" s="886"/>
      <c r="J42" s="450">
        <f t="shared" si="16"/>
        <v>0.05</v>
      </c>
      <c r="K42" s="420">
        <f t="shared" si="13"/>
        <v>0.1725745771778481</v>
      </c>
      <c r="M42" s="397">
        <f>M41+M40</f>
        <v>2033.2</v>
      </c>
      <c r="N42" s="398">
        <f>N41+N40</f>
        <v>2.7015000000000001E-2</v>
      </c>
      <c r="O42" s="399">
        <f>O41+O40</f>
        <v>8.5600000000000009E-2</v>
      </c>
      <c r="P42" s="400">
        <f t="shared" si="6"/>
        <v>2056.6404200000002</v>
      </c>
      <c r="Q42" s="439">
        <f>P42+P39</f>
        <v>3125.069516</v>
      </c>
      <c r="R42" s="439">
        <f>R41+R40</f>
        <v>66</v>
      </c>
      <c r="S42" s="886"/>
      <c r="T42" s="419">
        <f t="shared" si="17"/>
        <v>0.2</v>
      </c>
      <c r="U42" s="420">
        <f t="shared" si="14"/>
        <v>0.8204623702970395</v>
      </c>
      <c r="AD42" s="397">
        <f t="shared" si="22"/>
        <v>14345.1</v>
      </c>
      <c r="AE42" s="398">
        <f t="shared" si="23"/>
        <v>0.15916100000000002</v>
      </c>
      <c r="AF42" s="399">
        <f t="shared" si="24"/>
        <v>0.56208100000000005</v>
      </c>
      <c r="AG42" s="400">
        <f t="shared" si="7"/>
        <v>14498.507973</v>
      </c>
      <c r="AH42" s="439">
        <f>AG42+AG39</f>
        <v>29024.382168999997</v>
      </c>
      <c r="AI42" s="439">
        <f t="shared" si="25"/>
        <v>150</v>
      </c>
      <c r="AJ42" s="886"/>
      <c r="AK42" s="419">
        <f t="shared" si="18"/>
        <v>0.1111111111111111</v>
      </c>
      <c r="AL42" s="420">
        <f t="shared" si="15"/>
        <v>0.23491809444419443</v>
      </c>
      <c r="AN42" s="50">
        <v>2018</v>
      </c>
      <c r="AO42" s="202">
        <f>AK39</f>
        <v>-4.1237113402061855E-2</v>
      </c>
      <c r="AP42" s="202">
        <f>AK42</f>
        <v>0.1111111111111111</v>
      </c>
      <c r="AQ42" s="202">
        <f>AK43</f>
        <v>-1.2552301255230125E-2</v>
      </c>
      <c r="AR42" s="202">
        <f>AK47</f>
        <v>-0.12173387705784625</v>
      </c>
      <c r="BI42" s="50" t="s">
        <v>332</v>
      </c>
      <c r="BJ42" s="50">
        <f t="shared" si="21"/>
        <v>2018.749999999997</v>
      </c>
      <c r="BK42" s="431">
        <v>73077.100000000006</v>
      </c>
      <c r="BM42" s="162">
        <f t="shared" si="19"/>
        <v>0.16634852030018557</v>
      </c>
      <c r="BT42" s="432" t="s">
        <v>332</v>
      </c>
      <c r="BU42" s="433">
        <v>60961.4</v>
      </c>
      <c r="BW42" s="162">
        <f t="shared" si="20"/>
        <v>9.3113329005928128E-2</v>
      </c>
    </row>
    <row r="43" spans="1:75" ht="14.75" x14ac:dyDescent="0.75">
      <c r="A43" s="883"/>
      <c r="B43" s="396" t="s">
        <v>305</v>
      </c>
      <c r="C43" s="397">
        <f>C42+C39</f>
        <v>25621.3</v>
      </c>
      <c r="D43" s="442">
        <f>D42+D39</f>
        <v>0.30099600000000004</v>
      </c>
      <c r="E43" s="443">
        <f>E42+E39</f>
        <v>1.017301</v>
      </c>
      <c r="F43" s="400">
        <f t="shared" si="5"/>
        <v>25899.312652999997</v>
      </c>
      <c r="G43" s="439">
        <f>F43</f>
        <v>25899.312652999997</v>
      </c>
      <c r="H43" s="439">
        <f>H42+H39</f>
        <v>519</v>
      </c>
      <c r="I43" s="886"/>
      <c r="J43" s="450">
        <f t="shared" si="16"/>
        <v>-3.888888888888889E-2</v>
      </c>
      <c r="K43" s="420">
        <f t="shared" si="13"/>
        <v>0.11849484177977762</v>
      </c>
      <c r="M43" s="397">
        <f>M42+M39</f>
        <v>3090.3</v>
      </c>
      <c r="N43" s="442">
        <f>N42+N39</f>
        <v>3.9842000000000002E-2</v>
      </c>
      <c r="O43" s="443">
        <f>O42+O39</f>
        <v>0.126996</v>
      </c>
      <c r="P43" s="400">
        <f t="shared" si="6"/>
        <v>3125.0695160000005</v>
      </c>
      <c r="Q43" s="439">
        <f>P43</f>
        <v>3125.0695160000005</v>
      </c>
      <c r="R43" s="439">
        <f>R42+R39</f>
        <v>189</v>
      </c>
      <c r="S43" s="886"/>
      <c r="T43" s="419">
        <f t="shared" si="17"/>
        <v>6.7796610169491525E-2</v>
      </c>
      <c r="U43" s="420">
        <f t="shared" si="14"/>
        <v>0.41428719621237547</v>
      </c>
      <c r="AD43" s="397">
        <f t="shared" si="22"/>
        <v>28711.599999999999</v>
      </c>
      <c r="AE43" s="398">
        <f t="shared" si="23"/>
        <v>0.34083800000000003</v>
      </c>
      <c r="AF43" s="399">
        <f t="shared" si="24"/>
        <v>1.1442969999999999</v>
      </c>
      <c r="AG43" s="400">
        <f t="shared" si="7"/>
        <v>29024.382168999997</v>
      </c>
      <c r="AH43" s="439">
        <f>AG43</f>
        <v>29024.382168999997</v>
      </c>
      <c r="AI43" s="439">
        <f t="shared" si="25"/>
        <v>708</v>
      </c>
      <c r="AJ43" s="886"/>
      <c r="AK43" s="419">
        <f t="shared" si="18"/>
        <v>-1.2552301255230125E-2</v>
      </c>
      <c r="AL43" s="420">
        <f t="shared" si="15"/>
        <v>0.14426230256221947</v>
      </c>
      <c r="AN43" s="50">
        <v>2019</v>
      </c>
      <c r="AO43" s="202">
        <f>AK52</f>
        <v>0.1111111111111111</v>
      </c>
      <c r="AP43" s="202">
        <f>AK55</f>
        <v>0.16666666666666666</v>
      </c>
      <c r="AQ43" s="202">
        <f>AK56</f>
        <v>0.1228813559322034</v>
      </c>
      <c r="AR43" s="202">
        <f>AK60</f>
        <v>0.16337059329320722</v>
      </c>
      <c r="BI43" s="50" t="s">
        <v>333</v>
      </c>
      <c r="BJ43" s="50">
        <f t="shared" si="21"/>
        <v>2018.8333333333303</v>
      </c>
      <c r="BK43" s="431">
        <v>72586.2</v>
      </c>
      <c r="BM43" s="162">
        <f>(BK43-BK31)/BK31</f>
        <v>0.28085985681993431</v>
      </c>
      <c r="BT43" s="432" t="s">
        <v>333</v>
      </c>
      <c r="BU43" s="433">
        <v>53795.5</v>
      </c>
      <c r="BW43" s="162">
        <f>(BU43-BU31)/BU31</f>
        <v>0.17485384076122923</v>
      </c>
    </row>
    <row r="44" spans="1:75" ht="14.75" x14ac:dyDescent="0.75">
      <c r="A44" s="883"/>
      <c r="B44" s="396" t="s">
        <v>35</v>
      </c>
      <c r="C44" s="397">
        <v>1970</v>
      </c>
      <c r="D44" s="398">
        <v>2.52E-2</v>
      </c>
      <c r="E44" s="399">
        <v>8.0399999999999999E-2</v>
      </c>
      <c r="F44" s="400">
        <f t="shared" si="5"/>
        <v>1992.0116</v>
      </c>
      <c r="G44" s="439">
        <f>F43+F44</f>
        <v>27891.324252999999</v>
      </c>
      <c r="H44" s="439">
        <v>78</v>
      </c>
      <c r="I44" s="886"/>
      <c r="J44" s="450">
        <f t="shared" si="16"/>
        <v>-0.30357142857142855</v>
      </c>
      <c r="K44" s="420">
        <f t="shared" si="13"/>
        <v>-5.2847474811927996E-2</v>
      </c>
      <c r="M44" s="397">
        <v>7480</v>
      </c>
      <c r="N44" s="398">
        <v>9.7500000000000003E-2</v>
      </c>
      <c r="O44" s="399">
        <v>0.308</v>
      </c>
      <c r="P44" s="400">
        <f t="shared" si="6"/>
        <v>7564.3499999999995</v>
      </c>
      <c r="Q44" s="439">
        <f>P43+P44</f>
        <v>10689.419516</v>
      </c>
      <c r="R44" s="439">
        <v>368</v>
      </c>
      <c r="S44" s="886"/>
      <c r="T44" s="419">
        <f t="shared" si="17"/>
        <v>3.3707865168539325E-2</v>
      </c>
      <c r="U44" s="420">
        <f t="shared" si="14"/>
        <v>0.30303489036615994</v>
      </c>
      <c r="AD44" s="397">
        <f t="shared" si="22"/>
        <v>9450</v>
      </c>
      <c r="AE44" s="398">
        <f t="shared" si="23"/>
        <v>0.1227</v>
      </c>
      <c r="AF44" s="399">
        <f t="shared" si="24"/>
        <v>0.38839999999999997</v>
      </c>
      <c r="AG44" s="400">
        <f t="shared" si="7"/>
        <v>9556.3616000000002</v>
      </c>
      <c r="AH44" s="439">
        <f>AG43+AG44</f>
        <v>38580.743768999993</v>
      </c>
      <c r="AI44" s="439">
        <f t="shared" si="25"/>
        <v>446</v>
      </c>
      <c r="AJ44" s="886"/>
      <c r="AK44" s="419">
        <f t="shared" si="18"/>
        <v>-4.7008547008547008E-2</v>
      </c>
      <c r="AL44" s="420">
        <f t="shared" si="15"/>
        <v>0.20839085175003813</v>
      </c>
      <c r="AN44" s="50">
        <v>2020</v>
      </c>
      <c r="AO44" s="202">
        <f>AK65</f>
        <v>-0.15806451612903225</v>
      </c>
      <c r="AP44" s="202">
        <f>AK68</f>
        <v>-0.95428571428571429</v>
      </c>
      <c r="AQ44" s="202">
        <f>AK69</f>
        <v>-0.33333333333333331</v>
      </c>
      <c r="AR44" s="202">
        <f>AK73</f>
        <v>-0.6078344419807834</v>
      </c>
      <c r="BI44" s="50" t="s">
        <v>334</v>
      </c>
      <c r="BJ44" s="50">
        <f t="shared" si="21"/>
        <v>2018.9166666666636</v>
      </c>
      <c r="BK44" s="431">
        <v>64250.3</v>
      </c>
      <c r="BM44" s="162">
        <f t="shared" ref="BM44:BM63" si="26">(BK44-BK32)/BK32</f>
        <v>-3.8937436241088585E-2</v>
      </c>
      <c r="BT44" s="432" t="s">
        <v>334</v>
      </c>
      <c r="BU44" s="433">
        <v>53081.2</v>
      </c>
      <c r="BW44" s="162">
        <f t="shared" ref="BW44:BW63" si="27">(BU44-BU32)/BU32</f>
        <v>0.22839879014248457</v>
      </c>
    </row>
    <row r="45" spans="1:75" ht="14.75" x14ac:dyDescent="0.75">
      <c r="A45" s="883"/>
      <c r="B45" s="396" t="s">
        <v>308</v>
      </c>
      <c r="C45" s="397">
        <v>0</v>
      </c>
      <c r="D45" s="398">
        <v>0</v>
      </c>
      <c r="E45" s="399">
        <v>0</v>
      </c>
      <c r="F45" s="400">
        <f t="shared" si="5"/>
        <v>0</v>
      </c>
      <c r="G45" s="439">
        <f>SUM(F43:F45)</f>
        <v>27891.324252999999</v>
      </c>
      <c r="H45" s="439">
        <v>0</v>
      </c>
      <c r="I45" s="886"/>
      <c r="J45" s="450" t="e">
        <f t="shared" si="16"/>
        <v>#DIV/0!</v>
      </c>
      <c r="K45" s="420" t="e">
        <f t="shared" si="13"/>
        <v>#DIV/0!</v>
      </c>
      <c r="M45" s="397">
        <v>811</v>
      </c>
      <c r="N45" s="398">
        <v>9.6299999999999997E-3</v>
      </c>
      <c r="O45" s="399">
        <v>3.5000000000000003E-2</v>
      </c>
      <c r="P45" s="400">
        <f t="shared" si="6"/>
        <v>820.54463999999996</v>
      </c>
      <c r="Q45" s="439">
        <f>SUM(P43:P45)</f>
        <v>11509.964156</v>
      </c>
      <c r="R45" s="439">
        <v>4520</v>
      </c>
      <c r="S45" s="886"/>
      <c r="T45" s="419">
        <f t="shared" si="17"/>
        <v>-0.15906976744186047</v>
      </c>
      <c r="U45" s="420">
        <f t="shared" si="14"/>
        <v>-3.1085708293903832E-2</v>
      </c>
      <c r="AD45" s="397">
        <f t="shared" si="22"/>
        <v>811</v>
      </c>
      <c r="AE45" s="398">
        <f t="shared" si="23"/>
        <v>9.6299999999999997E-3</v>
      </c>
      <c r="AF45" s="399">
        <f t="shared" si="24"/>
        <v>3.5000000000000003E-2</v>
      </c>
      <c r="AG45" s="400">
        <f t="shared" si="7"/>
        <v>820.54463999999996</v>
      </c>
      <c r="AH45" s="439">
        <f>SUM(AG43:AG45)</f>
        <v>39401.288408999993</v>
      </c>
      <c r="AI45" s="439">
        <f t="shared" si="25"/>
        <v>4520</v>
      </c>
      <c r="AJ45" s="886"/>
      <c r="AK45" s="419">
        <f t="shared" si="18"/>
        <v>-0.15906976744186047</v>
      </c>
      <c r="AL45" s="420">
        <f t="shared" si="15"/>
        <v>-3.1085708293903832E-2</v>
      </c>
      <c r="BI45" s="50" t="s">
        <v>335</v>
      </c>
      <c r="BJ45" s="50">
        <f t="shared" si="21"/>
        <v>2018.9999999999968</v>
      </c>
      <c r="BK45" s="431">
        <v>52595.3</v>
      </c>
      <c r="BM45" s="162">
        <f t="shared" si="26"/>
        <v>2.3802618132269266E-2</v>
      </c>
      <c r="BT45" s="432" t="s">
        <v>335</v>
      </c>
      <c r="BU45" s="433">
        <v>76557</v>
      </c>
      <c r="BW45" s="162">
        <f t="shared" si="27"/>
        <v>0.58289431243952272</v>
      </c>
    </row>
    <row r="46" spans="1:75" ht="15.5" thickBot="1" x14ac:dyDescent="0.9">
      <c r="A46" s="896"/>
      <c r="B46" s="396" t="s">
        <v>310</v>
      </c>
      <c r="C46" s="405">
        <v>817</v>
      </c>
      <c r="D46" s="406">
        <v>9.8200000000000006E-3</v>
      </c>
      <c r="E46" s="407">
        <v>3.2500000000000001E-2</v>
      </c>
      <c r="F46" s="444">
        <f t="shared" si="5"/>
        <v>825.88745999999992</v>
      </c>
      <c r="G46" s="439">
        <f>SUM(F43:F46)</f>
        <v>28717.211712999997</v>
      </c>
      <c r="H46" s="439">
        <v>31</v>
      </c>
      <c r="I46" s="886"/>
      <c r="J46" s="451">
        <f t="shared" si="16"/>
        <v>0</v>
      </c>
      <c r="K46" s="424">
        <f t="shared" si="13"/>
        <v>0.26626026132549691</v>
      </c>
      <c r="M46" s="405">
        <v>1290</v>
      </c>
      <c r="N46" s="406">
        <v>0.01</v>
      </c>
      <c r="O46" s="407">
        <v>3.61E-2</v>
      </c>
      <c r="P46" s="444">
        <f t="shared" si="6"/>
        <v>1299.8464999999999</v>
      </c>
      <c r="Q46" s="439">
        <f>SUM(P43:P46)</f>
        <v>12809.810656</v>
      </c>
      <c r="R46" s="439">
        <v>110</v>
      </c>
      <c r="S46" s="886"/>
      <c r="T46" s="423">
        <f t="shared" si="17"/>
        <v>2.6666666666666665</v>
      </c>
      <c r="U46" s="424">
        <f t="shared" si="14"/>
        <v>0.10175661085412638</v>
      </c>
      <c r="AD46" s="405">
        <f t="shared" si="22"/>
        <v>2107</v>
      </c>
      <c r="AE46" s="406">
        <f t="shared" si="23"/>
        <v>1.9820000000000001E-2</v>
      </c>
      <c r="AF46" s="407">
        <f t="shared" si="24"/>
        <v>6.8599999999999994E-2</v>
      </c>
      <c r="AG46" s="444">
        <f t="shared" si="7"/>
        <v>2125.73396</v>
      </c>
      <c r="AH46" s="439">
        <f>SUM(AG43:AG46)</f>
        <v>41527.022368999991</v>
      </c>
      <c r="AI46" s="439">
        <f t="shared" si="25"/>
        <v>141</v>
      </c>
      <c r="AJ46" s="886"/>
      <c r="AK46" s="423">
        <f t="shared" si="18"/>
        <v>1.3114754098360655</v>
      </c>
      <c r="AL46" s="424">
        <f t="shared" si="15"/>
        <v>0.1603222863886638</v>
      </c>
      <c r="BI46" s="50" t="s">
        <v>336</v>
      </c>
      <c r="BJ46" s="50">
        <f t="shared" si="21"/>
        <v>2019.0833333333301</v>
      </c>
      <c r="BK46" s="431">
        <v>60429.1</v>
      </c>
      <c r="BM46" s="162">
        <f t="shared" si="26"/>
        <v>1.7688288264392181E-3</v>
      </c>
      <c r="BT46" s="432" t="s">
        <v>336</v>
      </c>
      <c r="BU46" s="433">
        <v>44705</v>
      </c>
      <c r="BW46" s="162">
        <f t="shared" si="27"/>
        <v>-3.2292279984760912E-2</v>
      </c>
    </row>
    <row r="47" spans="1:75" ht="15.5" thickBot="1" x14ac:dyDescent="0.9">
      <c r="A47" s="409" t="s">
        <v>21</v>
      </c>
      <c r="B47" s="410">
        <f>A35</f>
        <v>2018</v>
      </c>
      <c r="C47" s="411">
        <f>SUM(C43:C46)</f>
        <v>28408.3</v>
      </c>
      <c r="D47" s="445">
        <f>SUM(D43:D46)</f>
        <v>0.33601600000000004</v>
      </c>
      <c r="E47" s="445">
        <f>SUM(E43:E46)</f>
        <v>1.130201</v>
      </c>
      <c r="F47" s="412">
        <f t="shared" si="5"/>
        <v>28717.211712999997</v>
      </c>
      <c r="G47" s="412">
        <f>G46</f>
        <v>28717.211712999997</v>
      </c>
      <c r="H47" s="412">
        <f>SUM(H43:H46)</f>
        <v>628</v>
      </c>
      <c r="I47" s="887"/>
      <c r="J47" s="427">
        <f t="shared" si="16"/>
        <v>-8.0527086383601759E-2</v>
      </c>
      <c r="K47" s="428">
        <f t="shared" si="13"/>
        <v>0.10830670811954354</v>
      </c>
      <c r="M47" s="411">
        <f>SUM(M43:M46)</f>
        <v>12671.3</v>
      </c>
      <c r="N47" s="445">
        <f>SUM(N43:N46)</f>
        <v>0.15697200000000003</v>
      </c>
      <c r="O47" s="445">
        <f>SUM(O43:O46)</f>
        <v>0.50609599999999999</v>
      </c>
      <c r="P47" s="412">
        <f t="shared" si="6"/>
        <v>12809.810656</v>
      </c>
      <c r="Q47" s="412">
        <f>Q46</f>
        <v>12809.810656</v>
      </c>
      <c r="R47" s="412">
        <f>SUM(R43:R46)</f>
        <v>5187</v>
      </c>
      <c r="S47" s="887"/>
      <c r="T47" s="427">
        <f t="shared" si="17"/>
        <v>-0.12647356012125294</v>
      </c>
      <c r="U47" s="428">
        <f t="shared" si="14"/>
        <v>0.27568874366075563</v>
      </c>
      <c r="AD47" s="411">
        <f t="shared" si="22"/>
        <v>41079.599999999999</v>
      </c>
      <c r="AE47" s="411">
        <f t="shared" si="23"/>
        <v>0.49298800000000009</v>
      </c>
      <c r="AF47" s="411">
        <f t="shared" si="24"/>
        <v>1.6362969999999999</v>
      </c>
      <c r="AG47" s="412">
        <f t="shared" si="7"/>
        <v>41527.022368999998</v>
      </c>
      <c r="AH47" s="412">
        <f>AH46</f>
        <v>41527.022368999991</v>
      </c>
      <c r="AI47" s="412">
        <f t="shared" si="25"/>
        <v>5815</v>
      </c>
      <c r="AJ47" s="887"/>
      <c r="AK47" s="427">
        <f t="shared" si="18"/>
        <v>-0.12173387705784625</v>
      </c>
      <c r="AL47" s="428">
        <f t="shared" si="15"/>
        <v>0.15505645364164353</v>
      </c>
      <c r="BI47" s="50" t="s">
        <v>337</v>
      </c>
      <c r="BJ47" s="50">
        <f t="shared" si="21"/>
        <v>2019.1666666666633</v>
      </c>
      <c r="BK47" s="431">
        <v>61729.4</v>
      </c>
      <c r="BM47" s="162">
        <f t="shared" si="26"/>
        <v>8.1781969657937756E-2</v>
      </c>
      <c r="BT47" s="432" t="s">
        <v>337</v>
      </c>
      <c r="BU47" s="433">
        <v>52704.9</v>
      </c>
      <c r="BW47" s="162">
        <f t="shared" si="27"/>
        <v>0.15365875013680641</v>
      </c>
    </row>
    <row r="48" spans="1:75" ht="15" customHeight="1" x14ac:dyDescent="0.75">
      <c r="A48" s="883">
        <v>2019</v>
      </c>
      <c r="B48" s="388" t="s">
        <v>289</v>
      </c>
      <c r="C48" s="389">
        <v>1020</v>
      </c>
      <c r="D48" s="390">
        <v>1.2500000000000001E-2</v>
      </c>
      <c r="E48" s="391">
        <v>3.95E-2</v>
      </c>
      <c r="F48" s="392">
        <f t="shared" si="5"/>
        <v>1030.8175000000001</v>
      </c>
      <c r="G48" s="438">
        <f>F48</f>
        <v>1030.8175000000001</v>
      </c>
      <c r="H48" s="438">
        <v>13</v>
      </c>
      <c r="I48" s="885" t="str">
        <f>"Milli áranna "&amp; $A35 &amp;" og "&amp; $A48</f>
        <v>Milli áranna 2018 og 2019</v>
      </c>
      <c r="J48" s="449">
        <f t="shared" si="16"/>
        <v>5.5</v>
      </c>
      <c r="K48" s="416">
        <f t="shared" si="13"/>
        <v>17.741250413616815</v>
      </c>
      <c r="M48" s="389">
        <v>509</v>
      </c>
      <c r="N48" s="390">
        <v>6.9499999999999996E-3</v>
      </c>
      <c r="O48" s="391">
        <v>2.1700000000000001E-2</v>
      </c>
      <c r="P48" s="392">
        <f t="shared" si="6"/>
        <v>514.94510000000002</v>
      </c>
      <c r="Q48" s="438">
        <f>P48</f>
        <v>514.94510000000002</v>
      </c>
      <c r="R48" s="438">
        <v>1</v>
      </c>
      <c r="S48" s="885" t="s">
        <v>274</v>
      </c>
      <c r="T48" s="415" t="e">
        <f t="shared" si="17"/>
        <v>#DIV/0!</v>
      </c>
      <c r="U48" s="416" t="e">
        <f t="shared" si="14"/>
        <v>#DIV/0!</v>
      </c>
      <c r="AD48" s="389">
        <f t="shared" si="22"/>
        <v>1529</v>
      </c>
      <c r="AE48" s="390">
        <f t="shared" si="23"/>
        <v>1.9450000000000002E-2</v>
      </c>
      <c r="AF48" s="391">
        <f t="shared" si="24"/>
        <v>6.1200000000000004E-2</v>
      </c>
      <c r="AG48" s="392">
        <f t="shared" si="7"/>
        <v>1545.7626</v>
      </c>
      <c r="AH48" s="438">
        <f>AG48</f>
        <v>1545.7626</v>
      </c>
      <c r="AI48" s="438">
        <f t="shared" si="25"/>
        <v>14</v>
      </c>
      <c r="AJ48" s="885" t="s">
        <v>274</v>
      </c>
      <c r="AK48" s="415">
        <f t="shared" si="18"/>
        <v>6</v>
      </c>
      <c r="AL48" s="416">
        <f t="shared" si="15"/>
        <v>27.103446018915474</v>
      </c>
      <c r="BI48" s="50" t="s">
        <v>338</v>
      </c>
      <c r="BJ48" s="50">
        <f t="shared" si="21"/>
        <v>2019.2499999999966</v>
      </c>
      <c r="BK48" s="431">
        <v>65567.8</v>
      </c>
      <c r="BM48" s="162">
        <f t="shared" si="26"/>
        <v>4.9660853876607576E-2</v>
      </c>
      <c r="BT48" s="432" t="s">
        <v>338</v>
      </c>
      <c r="BU48" s="433">
        <v>50232.2</v>
      </c>
      <c r="BW48" s="162">
        <f t="shared" si="27"/>
        <v>0.13850742615211314</v>
      </c>
    </row>
    <row r="49" spans="1:82" ht="14.75" x14ac:dyDescent="0.75">
      <c r="A49" s="883"/>
      <c r="B49" s="396" t="s">
        <v>291</v>
      </c>
      <c r="C49" s="397">
        <v>14200</v>
      </c>
      <c r="D49" s="398">
        <v>0.18</v>
      </c>
      <c r="E49" s="399">
        <v>0.57299999999999995</v>
      </c>
      <c r="F49" s="400">
        <f t="shared" si="5"/>
        <v>14356.885</v>
      </c>
      <c r="G49" s="439">
        <f>F49+F48</f>
        <v>15387.702499999999</v>
      </c>
      <c r="H49" s="439">
        <v>333</v>
      </c>
      <c r="I49" s="886"/>
      <c r="J49" s="450">
        <f t="shared" si="16"/>
        <v>0.26615969581749049</v>
      </c>
      <c r="K49" s="420">
        <f t="shared" si="13"/>
        <v>0.20336887310647245</v>
      </c>
      <c r="M49" s="397">
        <v>174</v>
      </c>
      <c r="N49" s="398">
        <v>2.0799999999999998E-3</v>
      </c>
      <c r="O49" s="399">
        <v>7.0000000000000001E-3</v>
      </c>
      <c r="P49" s="400">
        <f t="shared" si="6"/>
        <v>175.91324</v>
      </c>
      <c r="Q49" s="439">
        <f>P49+P48</f>
        <v>690.85834</v>
      </c>
      <c r="R49" s="439">
        <v>6</v>
      </c>
      <c r="S49" s="886"/>
      <c r="T49" s="419">
        <f t="shared" si="17"/>
        <v>0</v>
      </c>
      <c r="U49" s="420">
        <f t="shared" si="14"/>
        <v>1.0069662385004581</v>
      </c>
      <c r="AD49" s="397">
        <f t="shared" si="22"/>
        <v>14374</v>
      </c>
      <c r="AE49" s="398">
        <f t="shared" si="23"/>
        <v>0.18207999999999999</v>
      </c>
      <c r="AF49" s="399">
        <f t="shared" si="24"/>
        <v>0.57999999999999996</v>
      </c>
      <c r="AG49" s="400">
        <f t="shared" si="7"/>
        <v>14532.79824</v>
      </c>
      <c r="AH49" s="439">
        <f>AG49+AG48</f>
        <v>16078.56084</v>
      </c>
      <c r="AI49" s="439">
        <f t="shared" si="25"/>
        <v>339</v>
      </c>
      <c r="AJ49" s="886"/>
      <c r="AK49" s="419">
        <f t="shared" si="18"/>
        <v>0.26022304832713755</v>
      </c>
      <c r="AL49" s="420">
        <f t="shared" si="15"/>
        <v>0.20922966788835309</v>
      </c>
      <c r="BI49" s="50" t="s">
        <v>339</v>
      </c>
      <c r="BJ49" s="50">
        <f t="shared" si="21"/>
        <v>2019.3333333333298</v>
      </c>
      <c r="BK49" s="431">
        <v>66047.199999999997</v>
      </c>
      <c r="BM49" s="162">
        <f t="shared" si="26"/>
        <v>-4.743553872291819E-2</v>
      </c>
      <c r="BT49" s="432" t="s">
        <v>339</v>
      </c>
      <c r="BU49" s="433">
        <v>63230.5</v>
      </c>
      <c r="BW49" s="162">
        <f t="shared" si="27"/>
        <v>0.20629067120969596</v>
      </c>
    </row>
    <row r="50" spans="1:82" ht="14.75" x14ac:dyDescent="0.75">
      <c r="A50" s="883"/>
      <c r="B50" s="396" t="s">
        <v>293</v>
      </c>
      <c r="C50" s="397">
        <v>1720</v>
      </c>
      <c r="D50" s="398">
        <v>2.3099999999999999E-2</v>
      </c>
      <c r="E50" s="399">
        <v>7.3499999999999996E-2</v>
      </c>
      <c r="F50" s="400">
        <f t="shared" si="5"/>
        <v>1740.1242999999999</v>
      </c>
      <c r="G50" s="439">
        <f>F50+F49+F48</f>
        <v>17127.826799999999</v>
      </c>
      <c r="H50" s="439">
        <v>122</v>
      </c>
      <c r="I50" s="886"/>
      <c r="J50" s="450">
        <f t="shared" si="16"/>
        <v>-0.24223602484472051</v>
      </c>
      <c r="K50" s="420">
        <f t="shared" si="13"/>
        <v>0.29329981795504062</v>
      </c>
      <c r="M50" s="397">
        <v>7.61</v>
      </c>
      <c r="N50" s="398">
        <f>0.0000946</f>
        <v>9.4599999999999996E-5</v>
      </c>
      <c r="O50" s="399">
        <v>3.2000000000000003E-4</v>
      </c>
      <c r="P50" s="400">
        <f t="shared" si="6"/>
        <v>7.697448800000001</v>
      </c>
      <c r="Q50" s="439">
        <f>P50+P49+P48</f>
        <v>698.55578880000007</v>
      </c>
      <c r="R50" s="439">
        <v>2</v>
      </c>
      <c r="S50" s="886"/>
      <c r="T50" s="419">
        <f t="shared" si="17"/>
        <v>-0.6</v>
      </c>
      <c r="U50" s="420">
        <f t="shared" si="14"/>
        <v>-0.6444723828836435</v>
      </c>
      <c r="AD50" s="397">
        <f t="shared" si="22"/>
        <v>1727.61</v>
      </c>
      <c r="AE50" s="398">
        <f t="shared" si="23"/>
        <v>2.3194599999999999E-2</v>
      </c>
      <c r="AF50" s="399">
        <f t="shared" si="24"/>
        <v>7.3819999999999997E-2</v>
      </c>
      <c r="AG50" s="400">
        <f t="shared" si="7"/>
        <v>1747.8217488</v>
      </c>
      <c r="AH50" s="439">
        <f>AG50+AG49+AG48</f>
        <v>17826.382588799999</v>
      </c>
      <c r="AI50" s="439">
        <f t="shared" si="25"/>
        <v>124</v>
      </c>
      <c r="AJ50" s="886"/>
      <c r="AK50" s="419">
        <f t="shared" si="18"/>
        <v>-0.25301204819277107</v>
      </c>
      <c r="AL50" s="420">
        <f t="shared" si="15"/>
        <v>0.27844877299761606</v>
      </c>
      <c r="BI50" s="50" t="s">
        <v>341</v>
      </c>
      <c r="BJ50" s="50">
        <f t="shared" si="21"/>
        <v>2019.4166666666631</v>
      </c>
      <c r="BK50" s="431">
        <v>74676.800000000003</v>
      </c>
      <c r="BM50" s="162">
        <f t="shared" si="26"/>
        <v>5.7319718413556146E-2</v>
      </c>
      <c r="BT50" s="432" t="s">
        <v>341</v>
      </c>
      <c r="BU50" s="433">
        <v>45688.3</v>
      </c>
      <c r="BW50" s="162">
        <f t="shared" si="27"/>
        <v>-9.4371973446608762E-2</v>
      </c>
    </row>
    <row r="51" spans="1:82" ht="14.75" x14ac:dyDescent="0.75">
      <c r="A51" s="883"/>
      <c r="B51" s="396" t="s">
        <v>295</v>
      </c>
      <c r="C51" s="397">
        <v>726</v>
      </c>
      <c r="D51" s="398">
        <v>8.2100000000000003E-3</v>
      </c>
      <c r="E51" s="399">
        <v>2.63E-2</v>
      </c>
      <c r="F51" s="400">
        <f t="shared" si="5"/>
        <v>733.19938000000002</v>
      </c>
      <c r="G51" s="439">
        <f>SUM(F48:F51)</f>
        <v>17861.026180000001</v>
      </c>
      <c r="H51" s="439">
        <v>9</v>
      </c>
      <c r="I51" s="886"/>
      <c r="J51" s="450">
        <f t="shared" si="16"/>
        <v>0</v>
      </c>
      <c r="K51" s="420">
        <f t="shared" si="13"/>
        <v>4.8018351919742797</v>
      </c>
      <c r="M51" s="397">
        <v>1120</v>
      </c>
      <c r="N51" s="398">
        <v>1.38E-2</v>
      </c>
      <c r="O51" s="399">
        <v>4.4200000000000003E-2</v>
      </c>
      <c r="P51" s="400">
        <f t="shared" si="6"/>
        <v>1132.0994000000001</v>
      </c>
      <c r="Q51" s="439">
        <f>SUM(P48:P51)</f>
        <v>1830.6551887999999</v>
      </c>
      <c r="R51" s="439">
        <v>134</v>
      </c>
      <c r="S51" s="886"/>
      <c r="T51" s="419">
        <f t="shared" si="17"/>
        <v>0.19642857142857142</v>
      </c>
      <c r="U51" s="420">
        <f t="shared" si="14"/>
        <v>0.18034358327937813</v>
      </c>
      <c r="AD51" s="397">
        <f t="shared" si="22"/>
        <v>1846</v>
      </c>
      <c r="AE51" s="398">
        <f t="shared" si="23"/>
        <v>2.2010000000000002E-2</v>
      </c>
      <c r="AF51" s="399">
        <f t="shared" si="24"/>
        <v>7.0500000000000007E-2</v>
      </c>
      <c r="AG51" s="400">
        <f t="shared" si="7"/>
        <v>1865.2987799999999</v>
      </c>
      <c r="AH51" s="439">
        <f>SUM(AG48:AG51)</f>
        <v>19691.6813688</v>
      </c>
      <c r="AI51" s="439">
        <f t="shared" si="25"/>
        <v>143</v>
      </c>
      <c r="AJ51" s="886"/>
      <c r="AK51" s="419">
        <f t="shared" si="18"/>
        <v>0.18181818181818182</v>
      </c>
      <c r="AL51" s="420">
        <f t="shared" si="15"/>
        <v>0.71837639533535091</v>
      </c>
      <c r="BI51" s="50" t="s">
        <v>342</v>
      </c>
      <c r="BJ51" s="50">
        <f t="shared" si="21"/>
        <v>2019.4999999999964</v>
      </c>
      <c r="BK51" s="431">
        <v>71560.5</v>
      </c>
      <c r="BM51" s="162">
        <f t="shared" si="26"/>
        <v>3.8234201714322236E-2</v>
      </c>
      <c r="BT51" s="432" t="s">
        <v>342</v>
      </c>
      <c r="BU51" s="433">
        <v>51508.800000000003</v>
      </c>
      <c r="BW51" s="162">
        <f t="shared" si="27"/>
        <v>2.0586568601421048E-2</v>
      </c>
    </row>
    <row r="52" spans="1:82" ht="14.75" x14ac:dyDescent="0.75">
      <c r="A52" s="883"/>
      <c r="B52" s="440" t="s">
        <v>297</v>
      </c>
      <c r="C52" s="397">
        <f>SUM(C48:C51)</f>
        <v>17666</v>
      </c>
      <c r="D52" s="398">
        <f>SUM(D48:D51)</f>
        <v>0.22381000000000001</v>
      </c>
      <c r="E52" s="399">
        <f>SUM(E48:E51)</f>
        <v>0.71229999999999993</v>
      </c>
      <c r="F52" s="400">
        <f t="shared" si="5"/>
        <v>17861.026180000001</v>
      </c>
      <c r="G52" s="439">
        <f>SUM(F52)</f>
        <v>17861.026180000001</v>
      </c>
      <c r="H52" s="439">
        <f>SUM(H48:H51)</f>
        <v>477</v>
      </c>
      <c r="I52" s="886"/>
      <c r="J52" s="450">
        <f t="shared" si="16"/>
        <v>9.6551724137931033E-2</v>
      </c>
      <c r="K52" s="420">
        <f t="shared" si="13"/>
        <v>0.32722266725056154</v>
      </c>
      <c r="M52" s="397">
        <f>SUM(M48:M51)</f>
        <v>1810.6100000000001</v>
      </c>
      <c r="N52" s="398">
        <f>SUM(N48:N51)</f>
        <v>2.29246E-2</v>
      </c>
      <c r="O52" s="399">
        <f>SUM(O48:O51)</f>
        <v>7.3220000000000007E-2</v>
      </c>
      <c r="P52" s="400">
        <f t="shared" si="6"/>
        <v>1830.6551888000001</v>
      </c>
      <c r="Q52" s="439">
        <f>SUM(P52)</f>
        <v>1830.6551888000001</v>
      </c>
      <c r="R52" s="439">
        <f>SUM(R48:R51)</f>
        <v>143</v>
      </c>
      <c r="S52" s="886"/>
      <c r="T52" s="419">
        <f t="shared" si="17"/>
        <v>0.16260162601626016</v>
      </c>
      <c r="U52" s="420">
        <f t="shared" si="14"/>
        <v>0.71340821366025431</v>
      </c>
      <c r="AD52" s="397">
        <f t="shared" si="22"/>
        <v>19476.61</v>
      </c>
      <c r="AE52" s="398">
        <f t="shared" si="23"/>
        <v>0.2467346</v>
      </c>
      <c r="AF52" s="399">
        <f t="shared" si="24"/>
        <v>0.78552</v>
      </c>
      <c r="AG52" s="400">
        <f t="shared" si="7"/>
        <v>19691.6813688</v>
      </c>
      <c r="AH52" s="439">
        <f>SUM(AG52)</f>
        <v>19691.6813688</v>
      </c>
      <c r="AI52" s="439">
        <f t="shared" si="25"/>
        <v>620</v>
      </c>
      <c r="AJ52" s="886"/>
      <c r="AK52" s="419">
        <f t="shared" si="18"/>
        <v>0.1111111111111111</v>
      </c>
      <c r="AL52" s="420">
        <f t="shared" si="15"/>
        <v>0.35562797137693192</v>
      </c>
      <c r="AO52" s="50" t="s">
        <v>301</v>
      </c>
      <c r="AP52" s="50" t="s">
        <v>297</v>
      </c>
      <c r="AQ52" s="50" t="s">
        <v>313</v>
      </c>
      <c r="BI52" s="50" t="s">
        <v>343</v>
      </c>
      <c r="BJ52" s="50">
        <f t="shared" si="21"/>
        <v>2019.5833333333296</v>
      </c>
      <c r="BK52" s="431">
        <v>58093.4</v>
      </c>
      <c r="BM52" s="162">
        <f t="shared" si="26"/>
        <v>-0.1270661281209805</v>
      </c>
      <c r="BT52" s="432" t="s">
        <v>343</v>
      </c>
      <c r="BU52" s="433">
        <v>45886.400000000001</v>
      </c>
      <c r="BW52" s="162">
        <f t="shared" si="27"/>
        <v>-3.9490925836769691E-2</v>
      </c>
    </row>
    <row r="53" spans="1:82" ht="14.75" x14ac:dyDescent="0.75">
      <c r="A53" s="883"/>
      <c r="B53" s="396" t="s">
        <v>299</v>
      </c>
      <c r="C53" s="397">
        <v>289</v>
      </c>
      <c r="D53" s="398">
        <v>3.5500000000000002E-3</v>
      </c>
      <c r="E53" s="399">
        <v>1.15E-2</v>
      </c>
      <c r="F53" s="400">
        <f t="shared" si="5"/>
        <v>292.14690000000002</v>
      </c>
      <c r="G53" s="439">
        <f>F52+F53</f>
        <v>18153.17308</v>
      </c>
      <c r="H53" s="439">
        <v>6</v>
      </c>
      <c r="I53" s="886"/>
      <c r="J53" s="450">
        <f t="shared" si="16"/>
        <v>5</v>
      </c>
      <c r="K53" s="420">
        <f t="shared" si="13"/>
        <v>23.281728219125164</v>
      </c>
      <c r="M53" s="397">
        <v>33.9</v>
      </c>
      <c r="N53" s="398">
        <v>4.17E-4</v>
      </c>
      <c r="O53" s="399">
        <v>1.3699999999999999E-3</v>
      </c>
      <c r="P53" s="400">
        <f t="shared" si="6"/>
        <v>34.274726000000001</v>
      </c>
      <c r="Q53" s="439">
        <f>P52+P53</f>
        <v>1864.9299148000002</v>
      </c>
      <c r="R53" s="439">
        <v>4</v>
      </c>
      <c r="S53" s="886"/>
      <c r="T53" s="419">
        <f t="shared" si="17"/>
        <v>0</v>
      </c>
      <c r="U53" s="420">
        <f t="shared" si="14"/>
        <v>-0.46371851091081434</v>
      </c>
      <c r="AD53" s="397">
        <f t="shared" si="22"/>
        <v>322.89999999999998</v>
      </c>
      <c r="AE53" s="398">
        <f t="shared" si="23"/>
        <v>3.967E-3</v>
      </c>
      <c r="AF53" s="399">
        <f t="shared" si="24"/>
        <v>1.2869999999999999E-2</v>
      </c>
      <c r="AG53" s="400">
        <f t="shared" si="7"/>
        <v>326.421626</v>
      </c>
      <c r="AH53" s="439">
        <f>AG52+AG53</f>
        <v>20018.1029948</v>
      </c>
      <c r="AI53" s="439">
        <f t="shared" si="25"/>
        <v>10</v>
      </c>
      <c r="AJ53" s="886"/>
      <c r="AK53" s="419">
        <f t="shared" si="18"/>
        <v>1</v>
      </c>
      <c r="AL53" s="420">
        <f t="shared" si="15"/>
        <v>3.2982239674816651</v>
      </c>
      <c r="AN53" s="50">
        <v>2016</v>
      </c>
      <c r="AO53" s="446">
        <f>AG15/AG21</f>
        <v>0.34584183528553203</v>
      </c>
      <c r="AP53" s="446">
        <f>AG13/AG21</f>
        <v>0.28502914184080569</v>
      </c>
      <c r="AQ53" s="446">
        <f>AG10/AG21</f>
        <v>0.21525364987925383</v>
      </c>
      <c r="BI53" s="50" t="s">
        <v>345</v>
      </c>
      <c r="BJ53" s="50">
        <f t="shared" si="21"/>
        <v>2019.6666666666629</v>
      </c>
      <c r="BK53" s="431">
        <v>69422.600000000006</v>
      </c>
      <c r="BM53" s="162">
        <f t="shared" si="26"/>
        <v>0.10124857431563192</v>
      </c>
      <c r="BT53" s="432" t="s">
        <v>345</v>
      </c>
      <c r="BU53" s="433">
        <v>50404.6</v>
      </c>
      <c r="BW53" s="162">
        <f t="shared" si="27"/>
        <v>3.3160609017193081E-2</v>
      </c>
    </row>
    <row r="54" spans="1:82" ht="14.75" x14ac:dyDescent="0.75">
      <c r="A54" s="883"/>
      <c r="B54" s="396" t="s">
        <v>301</v>
      </c>
      <c r="C54" s="397">
        <v>16500</v>
      </c>
      <c r="D54" s="398">
        <v>0.17599999999999999</v>
      </c>
      <c r="E54" s="399">
        <v>0.64</v>
      </c>
      <c r="F54" s="400">
        <f t="shared" si="5"/>
        <v>16674.527999999998</v>
      </c>
      <c r="G54" s="439">
        <f>F54+F53+F52</f>
        <v>34827.701079999999</v>
      </c>
      <c r="H54" s="439">
        <v>103</v>
      </c>
      <c r="I54" s="886"/>
      <c r="J54" s="450">
        <f t="shared" si="16"/>
        <v>0.24096385542168675</v>
      </c>
      <c r="K54" s="420">
        <f t="shared" ref="K54:K73" si="28">(F54-F41)/F41</f>
        <v>0.34149219667902292</v>
      </c>
      <c r="M54" s="397">
        <v>2210</v>
      </c>
      <c r="N54" s="398">
        <v>2.8899999999999999E-2</v>
      </c>
      <c r="O54" s="399">
        <v>9.2999999999999999E-2</v>
      </c>
      <c r="P54" s="400">
        <f t="shared" si="6"/>
        <v>2235.4542000000001</v>
      </c>
      <c r="Q54" s="439">
        <f>P54+P53+P52</f>
        <v>4100.3841148000001</v>
      </c>
      <c r="R54" s="439">
        <v>62</v>
      </c>
      <c r="S54" s="886"/>
      <c r="T54" s="419">
        <f t="shared" si="17"/>
        <v>0</v>
      </c>
      <c r="U54" s="420">
        <f t="shared" ref="U54:U73" si="29">(P54-P41)/P41</f>
        <v>0.12180564879733258</v>
      </c>
      <c r="AD54" s="397">
        <f t="shared" si="22"/>
        <v>18710</v>
      </c>
      <c r="AE54" s="398">
        <f t="shared" si="23"/>
        <v>0.2049</v>
      </c>
      <c r="AF54" s="399">
        <f t="shared" si="24"/>
        <v>0.73299999999999998</v>
      </c>
      <c r="AG54" s="400">
        <f t="shared" si="7"/>
        <v>18909.982199999999</v>
      </c>
      <c r="AH54" s="439">
        <f>AG54+AG53+AG52</f>
        <v>38928.085194799998</v>
      </c>
      <c r="AI54" s="439">
        <f t="shared" si="25"/>
        <v>165</v>
      </c>
      <c r="AJ54" s="886"/>
      <c r="AK54" s="419">
        <f t="shared" si="18"/>
        <v>0.13793103448275862</v>
      </c>
      <c r="AL54" s="420">
        <f t="shared" ref="AL54:AL73" si="30">(AG54-AG41)/AG41</f>
        <v>0.31113867224418595</v>
      </c>
      <c r="AN54" s="50">
        <v>2017</v>
      </c>
      <c r="AO54" s="446">
        <f>AG28/AG34</f>
        <v>0.32126569137189587</v>
      </c>
      <c r="AP54" s="446">
        <f>AG26/AG34</f>
        <v>0.37896485296848614</v>
      </c>
      <c r="AQ54" s="446">
        <f>AG23/AG34</f>
        <v>0.30329226830316036</v>
      </c>
      <c r="BI54" s="50" t="s">
        <v>346</v>
      </c>
      <c r="BJ54" s="50">
        <f t="shared" si="21"/>
        <v>2019.7499999999961</v>
      </c>
      <c r="BK54" s="431">
        <v>64734.1</v>
      </c>
      <c r="BM54" s="162">
        <f t="shared" si="26"/>
        <v>-0.11416709201651415</v>
      </c>
      <c r="BT54" s="432" t="s">
        <v>346</v>
      </c>
      <c r="BU54" s="433">
        <v>65051.4</v>
      </c>
      <c r="BW54" s="162">
        <f t="shared" si="27"/>
        <v>6.7091635034628463E-2</v>
      </c>
    </row>
    <row r="55" spans="1:82" ht="14.75" x14ac:dyDescent="0.75">
      <c r="A55" s="883"/>
      <c r="B55" s="396" t="s">
        <v>303</v>
      </c>
      <c r="C55" s="397">
        <f>C54+C53</f>
        <v>16789</v>
      </c>
      <c r="D55" s="398">
        <f>D54+D53</f>
        <v>0.17954999999999999</v>
      </c>
      <c r="E55" s="399">
        <f>E54+E53</f>
        <v>0.65149999999999997</v>
      </c>
      <c r="F55" s="400">
        <f t="shared" si="5"/>
        <v>16966.674899999998</v>
      </c>
      <c r="G55" s="439">
        <f>F55+F52</f>
        <v>34827.701079999999</v>
      </c>
      <c r="H55" s="439">
        <f>H54+H53</f>
        <v>109</v>
      </c>
      <c r="I55" s="886"/>
      <c r="J55" s="450">
        <f t="shared" si="16"/>
        <v>0.29761904761904762</v>
      </c>
      <c r="K55" s="420">
        <f t="shared" si="28"/>
        <v>0.36367589734621236</v>
      </c>
      <c r="M55" s="397">
        <f>M54+M53</f>
        <v>2243.9</v>
      </c>
      <c r="N55" s="398">
        <f>N54+N53</f>
        <v>2.9316999999999999E-2</v>
      </c>
      <c r="O55" s="399">
        <f>O54+O53</f>
        <v>9.4369999999999996E-2</v>
      </c>
      <c r="P55" s="400">
        <f t="shared" si="6"/>
        <v>2269.7289260000002</v>
      </c>
      <c r="Q55" s="439">
        <f>P55+P52</f>
        <v>4100.3841148000001</v>
      </c>
      <c r="R55" s="439">
        <f>R54+R53</f>
        <v>66</v>
      </c>
      <c r="S55" s="886"/>
      <c r="T55" s="419">
        <f t="shared" si="17"/>
        <v>0</v>
      </c>
      <c r="U55" s="420">
        <f t="shared" si="29"/>
        <v>0.10360999615090713</v>
      </c>
      <c r="AD55" s="397">
        <f t="shared" si="22"/>
        <v>19032.900000000001</v>
      </c>
      <c r="AE55" s="398">
        <f t="shared" si="23"/>
        <v>0.208867</v>
      </c>
      <c r="AF55" s="399">
        <f t="shared" si="24"/>
        <v>0.74586999999999992</v>
      </c>
      <c r="AG55" s="400">
        <f t="shared" si="7"/>
        <v>19236.403826000002</v>
      </c>
      <c r="AH55" s="439">
        <f>AG55+AG52</f>
        <v>38928.085194800005</v>
      </c>
      <c r="AI55" s="439">
        <f t="shared" si="25"/>
        <v>175</v>
      </c>
      <c r="AJ55" s="886"/>
      <c r="AK55" s="419">
        <f t="shared" si="18"/>
        <v>0.16666666666666666</v>
      </c>
      <c r="AL55" s="420">
        <f t="shared" si="30"/>
        <v>0.32678506380264771</v>
      </c>
      <c r="AN55" s="50">
        <v>2018</v>
      </c>
      <c r="AO55" s="446">
        <f>AG41/AG47</f>
        <v>0.34730553209050863</v>
      </c>
      <c r="AP55" s="446">
        <f>AG39/AG47</f>
        <v>0.3497933000571597</v>
      </c>
      <c r="AQ55" s="446">
        <f>AG36/AG47</f>
        <v>0.28940741797494324</v>
      </c>
      <c r="BI55" s="50" t="s">
        <v>351</v>
      </c>
      <c r="BJ55" s="50">
        <f t="shared" si="21"/>
        <v>2019.8333333333294</v>
      </c>
      <c r="BK55" s="431">
        <v>57174.6</v>
      </c>
      <c r="BM55" s="162">
        <f t="shared" si="26"/>
        <v>-0.21232135033932067</v>
      </c>
      <c r="BT55" s="432" t="s">
        <v>351</v>
      </c>
      <c r="BU55" s="433">
        <v>52114.1</v>
      </c>
      <c r="BW55" s="162">
        <f t="shared" si="27"/>
        <v>-3.1255402403546795E-2</v>
      </c>
    </row>
    <row r="56" spans="1:82" ht="14.75" x14ac:dyDescent="0.75">
      <c r="A56" s="883"/>
      <c r="B56" s="396" t="s">
        <v>305</v>
      </c>
      <c r="C56" s="397">
        <f>C55+C52</f>
        <v>34455</v>
      </c>
      <c r="D56" s="442">
        <f>D55+D52</f>
        <v>0.40336</v>
      </c>
      <c r="E56" s="443">
        <f>E55+E52</f>
        <v>1.3637999999999999</v>
      </c>
      <c r="F56" s="400">
        <f t="shared" si="5"/>
        <v>34827.701079999999</v>
      </c>
      <c r="G56" s="439">
        <f>F56</f>
        <v>34827.701079999999</v>
      </c>
      <c r="H56" s="439">
        <f>H55+H52</f>
        <v>586</v>
      </c>
      <c r="I56" s="886"/>
      <c r="J56" s="450">
        <f t="shared" si="16"/>
        <v>0.12909441233140656</v>
      </c>
      <c r="K56" s="420">
        <f t="shared" si="28"/>
        <v>0.3447345706282981</v>
      </c>
      <c r="M56" s="397">
        <f>M55+M52</f>
        <v>4054.51</v>
      </c>
      <c r="N56" s="442">
        <f>N55+N52</f>
        <v>5.2241599999999999E-2</v>
      </c>
      <c r="O56" s="443">
        <f>O55+O52</f>
        <v>0.16759000000000002</v>
      </c>
      <c r="P56" s="400">
        <f t="shared" si="6"/>
        <v>4100.3841148000001</v>
      </c>
      <c r="Q56" s="439">
        <f>P56</f>
        <v>4100.3841148000001</v>
      </c>
      <c r="R56" s="439">
        <f>R55+R52</f>
        <v>209</v>
      </c>
      <c r="S56" s="886"/>
      <c r="T56" s="419">
        <f t="shared" si="17"/>
        <v>0.10582010582010581</v>
      </c>
      <c r="U56" s="420">
        <f t="shared" si="29"/>
        <v>0.31209372905354582</v>
      </c>
      <c r="AD56" s="397">
        <f t="shared" si="22"/>
        <v>38509.51</v>
      </c>
      <c r="AE56" s="398">
        <f t="shared" si="23"/>
        <v>0.4556016</v>
      </c>
      <c r="AF56" s="399">
        <f t="shared" si="24"/>
        <v>1.53139</v>
      </c>
      <c r="AG56" s="400">
        <f t="shared" si="7"/>
        <v>38928.085194800005</v>
      </c>
      <c r="AH56" s="439">
        <f>AG56</f>
        <v>38928.085194800005</v>
      </c>
      <c r="AI56" s="439">
        <f t="shared" si="25"/>
        <v>795</v>
      </c>
      <c r="AJ56" s="886"/>
      <c r="AK56" s="419">
        <f t="shared" si="18"/>
        <v>0.1228813559322034</v>
      </c>
      <c r="AL56" s="420">
        <f t="shared" si="30"/>
        <v>0.34122011514780265</v>
      </c>
      <c r="AN56" s="50">
        <v>2019</v>
      </c>
      <c r="AO56" s="446">
        <f>AG54/AG60</f>
        <v>0.37024854317091321</v>
      </c>
      <c r="AP56" s="446">
        <f>AG52/AG60</f>
        <v>0.3855538446452908</v>
      </c>
      <c r="AQ56" s="446">
        <f>AG49/AG60</f>
        <v>0.28454534328206887</v>
      </c>
      <c r="BI56" s="50" t="s">
        <v>352</v>
      </c>
      <c r="BJ56" s="50">
        <f t="shared" si="21"/>
        <v>2019.9166666666626</v>
      </c>
      <c r="BK56" s="431">
        <v>53624.7</v>
      </c>
      <c r="BM56" s="162">
        <f t="shared" si="26"/>
        <v>-0.16537821613284304</v>
      </c>
      <c r="BT56" s="432" t="s">
        <v>352</v>
      </c>
      <c r="BU56" s="433">
        <v>42871.1</v>
      </c>
      <c r="BW56" s="162">
        <f t="shared" si="27"/>
        <v>-0.19234870349577626</v>
      </c>
    </row>
    <row r="57" spans="1:82" ht="14.75" x14ac:dyDescent="0.75">
      <c r="A57" s="883"/>
      <c r="B57" s="396" t="s">
        <v>35</v>
      </c>
      <c r="C57" s="397">
        <v>1860</v>
      </c>
      <c r="D57" s="398">
        <v>2.5000000000000001E-2</v>
      </c>
      <c r="E57" s="399">
        <v>7.5899999999999995E-2</v>
      </c>
      <c r="F57" s="400">
        <f t="shared" si="5"/>
        <v>1880.8135</v>
      </c>
      <c r="G57" s="439">
        <f>F56+F57</f>
        <v>36708.514579999995</v>
      </c>
      <c r="H57" s="439">
        <v>42</v>
      </c>
      <c r="I57" s="886"/>
      <c r="J57" s="450">
        <f t="shared" si="16"/>
        <v>-0.46153846153846156</v>
      </c>
      <c r="K57" s="420">
        <f t="shared" si="28"/>
        <v>-5.5822014289475051E-2</v>
      </c>
      <c r="M57" s="397">
        <v>8060</v>
      </c>
      <c r="N57" s="398">
        <v>0.106</v>
      </c>
      <c r="O57" s="399">
        <v>0.33400000000000002</v>
      </c>
      <c r="P57" s="400">
        <f t="shared" si="6"/>
        <v>8151.4780000000001</v>
      </c>
      <c r="Q57" s="439">
        <f>P56+P57</f>
        <v>12251.8621148</v>
      </c>
      <c r="R57" s="439">
        <v>294</v>
      </c>
      <c r="S57" s="886"/>
      <c r="T57" s="419">
        <f t="shared" si="17"/>
        <v>-0.20108695652173914</v>
      </c>
      <c r="U57" s="420">
        <f t="shared" si="29"/>
        <v>7.7617772842346097E-2</v>
      </c>
      <c r="AD57" s="397">
        <f t="shared" si="22"/>
        <v>9920</v>
      </c>
      <c r="AE57" s="398">
        <f t="shared" si="23"/>
        <v>0.13100000000000001</v>
      </c>
      <c r="AF57" s="399">
        <f t="shared" si="24"/>
        <v>0.40990000000000004</v>
      </c>
      <c r="AG57" s="400">
        <f t="shared" si="7"/>
        <v>10032.291499999999</v>
      </c>
      <c r="AH57" s="439">
        <f>AG56+AG57</f>
        <v>48960.376694800005</v>
      </c>
      <c r="AI57" s="439">
        <f t="shared" si="25"/>
        <v>336</v>
      </c>
      <c r="AJ57" s="886"/>
      <c r="AK57" s="419">
        <f t="shared" si="18"/>
        <v>-0.24663677130044842</v>
      </c>
      <c r="AL57" s="420">
        <f t="shared" si="30"/>
        <v>4.9802416434304782E-2</v>
      </c>
      <c r="AN57" s="50">
        <v>2020</v>
      </c>
      <c r="AO57" s="446">
        <f>AG67/AG73</f>
        <v>2.2807290361616821E-2</v>
      </c>
      <c r="AP57" s="446">
        <f>AG65/AG73</f>
        <v>0.58091399595854654</v>
      </c>
      <c r="AQ57" s="446">
        <f>AG62/AG73</f>
        <v>0.51679250504834062</v>
      </c>
      <c r="BI57" s="50" t="s">
        <v>353</v>
      </c>
      <c r="BJ57" s="50">
        <f t="shared" si="21"/>
        <v>2019.9999999999959</v>
      </c>
      <c r="BK57" s="431">
        <v>50798</v>
      </c>
      <c r="BM57" s="162">
        <f t="shared" si="26"/>
        <v>-3.4172254935326975E-2</v>
      </c>
      <c r="BT57" s="432" t="s">
        <v>353</v>
      </c>
      <c r="BU57" s="433">
        <v>46755.4</v>
      </c>
      <c r="BW57" s="162">
        <f t="shared" si="27"/>
        <v>-0.38927335188160456</v>
      </c>
    </row>
    <row r="58" spans="1:82" ht="14.75" x14ac:dyDescent="0.75">
      <c r="A58" s="883"/>
      <c r="B58" s="396" t="s">
        <v>308</v>
      </c>
      <c r="C58" s="397">
        <v>0</v>
      </c>
      <c r="D58" s="398">
        <v>0</v>
      </c>
      <c r="E58" s="399">
        <v>0</v>
      </c>
      <c r="F58" s="400">
        <f t="shared" si="5"/>
        <v>0</v>
      </c>
      <c r="G58" s="439">
        <f>SUM(F56:F58)</f>
        <v>36708.514579999995</v>
      </c>
      <c r="H58" s="439">
        <v>0</v>
      </c>
      <c r="I58" s="886"/>
      <c r="J58" s="450" t="e">
        <f t="shared" si="16"/>
        <v>#DIV/0!</v>
      </c>
      <c r="K58" s="420" t="e">
        <f t="shared" si="28"/>
        <v>#DIV/0!</v>
      </c>
      <c r="M58" s="397">
        <v>884</v>
      </c>
      <c r="N58" s="398">
        <v>1.0500000000000001E-2</v>
      </c>
      <c r="O58" s="399">
        <v>3.7999999999999999E-2</v>
      </c>
      <c r="P58" s="400">
        <f t="shared" si="6"/>
        <v>894.36400000000003</v>
      </c>
      <c r="Q58" s="439">
        <f>SUM(P56:P58)</f>
        <v>13146.2261148</v>
      </c>
      <c r="R58" s="439">
        <v>5542</v>
      </c>
      <c r="S58" s="886"/>
      <c r="T58" s="419">
        <f t="shared" si="17"/>
        <v>0.22610619469026549</v>
      </c>
      <c r="U58" s="420">
        <f t="shared" si="29"/>
        <v>8.9963856201656589E-2</v>
      </c>
      <c r="AD58" s="397">
        <f t="shared" si="22"/>
        <v>884</v>
      </c>
      <c r="AE58" s="398">
        <f t="shared" si="23"/>
        <v>1.0500000000000001E-2</v>
      </c>
      <c r="AF58" s="399">
        <f t="shared" si="24"/>
        <v>3.7999999999999999E-2</v>
      </c>
      <c r="AG58" s="400">
        <f t="shared" si="7"/>
        <v>894.36400000000003</v>
      </c>
      <c r="AH58" s="439">
        <f>SUM(AG56:AG58)</f>
        <v>49854.740694800006</v>
      </c>
      <c r="AI58" s="439">
        <f t="shared" si="25"/>
        <v>5542</v>
      </c>
      <c r="AJ58" s="886"/>
      <c r="AK58" s="419">
        <f>(AI58-AI45)/AI45</f>
        <v>0.22610619469026549</v>
      </c>
      <c r="AL58" s="420">
        <f t="shared" si="30"/>
        <v>8.9963856201656589E-2</v>
      </c>
      <c r="BI58" s="50" t="s">
        <v>354</v>
      </c>
      <c r="BJ58" s="50">
        <f t="shared" si="21"/>
        <v>2020.0833333333292</v>
      </c>
      <c r="BK58" s="431">
        <v>49383.5</v>
      </c>
      <c r="BM58" s="162">
        <f t="shared" si="26"/>
        <v>-0.18278610801749487</v>
      </c>
      <c r="BT58" s="432" t="s">
        <v>354</v>
      </c>
      <c r="BU58" s="433">
        <v>46096.2</v>
      </c>
      <c r="BW58" s="162">
        <f t="shared" si="27"/>
        <v>3.1119561570294087E-2</v>
      </c>
    </row>
    <row r="59" spans="1:82" ht="15.5" thickBot="1" x14ac:dyDescent="0.9">
      <c r="A59" s="896"/>
      <c r="B59" s="396" t="s">
        <v>310</v>
      </c>
      <c r="C59" s="405">
        <v>150</v>
      </c>
      <c r="D59" s="406">
        <v>1.6999999999999999E-3</v>
      </c>
      <c r="E59" s="407">
        <v>5.6299999999999996E-3</v>
      </c>
      <c r="F59" s="444">
        <f t="shared" si="5"/>
        <v>151.53954999999999</v>
      </c>
      <c r="G59" s="439">
        <f>SUM(F56:F59)</f>
        <v>36860.054129999997</v>
      </c>
      <c r="H59" s="439">
        <v>9</v>
      </c>
      <c r="I59" s="886"/>
      <c r="J59" s="451">
        <f t="shared" si="16"/>
        <v>-0.70967741935483875</v>
      </c>
      <c r="K59" s="424">
        <f t="shared" si="28"/>
        <v>-0.81651307552242047</v>
      </c>
      <c r="M59" s="405">
        <v>1060</v>
      </c>
      <c r="N59" s="406">
        <v>7.5199999999999998E-3</v>
      </c>
      <c r="O59" s="407">
        <v>2.7400000000000001E-2</v>
      </c>
      <c r="P59" s="444">
        <f t="shared" si="6"/>
        <v>1067.47156</v>
      </c>
      <c r="Q59" s="439">
        <f>SUM(P56:P59)</f>
        <v>14213.6976748</v>
      </c>
      <c r="R59" s="439">
        <v>83</v>
      </c>
      <c r="S59" s="886"/>
      <c r="T59" s="423">
        <f>(R59-R46)/R46</f>
        <v>-0.24545454545454545</v>
      </c>
      <c r="U59" s="424">
        <f t="shared" si="29"/>
        <v>-0.17877106258315881</v>
      </c>
      <c r="AD59" s="405">
        <f t="shared" si="22"/>
        <v>1210</v>
      </c>
      <c r="AE59" s="406">
        <f t="shared" si="23"/>
        <v>9.219999999999999E-3</v>
      </c>
      <c r="AF59" s="407">
        <f t="shared" si="24"/>
        <v>3.3030000000000004E-2</v>
      </c>
      <c r="AG59" s="444">
        <f t="shared" si="7"/>
        <v>1219.0111100000001</v>
      </c>
      <c r="AH59" s="439">
        <f>SUM(AG56:AG59)</f>
        <v>51073.751804800006</v>
      </c>
      <c r="AI59" s="439">
        <f t="shared" si="25"/>
        <v>92</v>
      </c>
      <c r="AJ59" s="886"/>
      <c r="AK59" s="423">
        <f>(AI59-AI46)/AI46</f>
        <v>-0.3475177304964539</v>
      </c>
      <c r="AL59" s="424">
        <f t="shared" si="30"/>
        <v>-0.42654577998085885</v>
      </c>
      <c r="BI59" s="50" t="s">
        <v>355</v>
      </c>
      <c r="BJ59" s="50">
        <f t="shared" si="21"/>
        <v>2020.1666666666624</v>
      </c>
      <c r="BK59" s="431">
        <v>68943.5</v>
      </c>
      <c r="BM59" s="162">
        <f t="shared" si="26"/>
        <v>0.11686651741309649</v>
      </c>
      <c r="BT59" s="432" t="s">
        <v>355</v>
      </c>
      <c r="BU59" s="433">
        <v>56167.5</v>
      </c>
      <c r="BW59" s="162">
        <f t="shared" si="27"/>
        <v>6.5697876288542401E-2</v>
      </c>
    </row>
    <row r="60" spans="1:82" ht="15.5" thickBot="1" x14ac:dyDescent="0.9">
      <c r="A60" s="409" t="s">
        <v>21</v>
      </c>
      <c r="B60" s="410">
        <f>A48</f>
        <v>2019</v>
      </c>
      <c r="C60" s="411">
        <f>SUM(C56:C59)</f>
        <v>36465</v>
      </c>
      <c r="D60" s="445">
        <f>SUM(D56:D59)</f>
        <v>0.43006</v>
      </c>
      <c r="E60" s="445">
        <f>SUM(E56:E59)</f>
        <v>1.44533</v>
      </c>
      <c r="F60" s="412">
        <f t="shared" si="5"/>
        <v>36860.054130000004</v>
      </c>
      <c r="G60" s="412">
        <f>G59</f>
        <v>36860.054129999997</v>
      </c>
      <c r="H60" s="412">
        <f>SUM(H56:H59)</f>
        <v>637</v>
      </c>
      <c r="I60" s="887"/>
      <c r="J60" s="427">
        <f t="shared" si="16"/>
        <v>1.4331210191082803E-2</v>
      </c>
      <c r="K60" s="428">
        <f t="shared" si="28"/>
        <v>0.28355268256471511</v>
      </c>
      <c r="M60" s="411">
        <f>SUM(M56:M59)</f>
        <v>14058.51</v>
      </c>
      <c r="N60" s="445">
        <f>SUM(N56:N59)</f>
        <v>0.17626159999999999</v>
      </c>
      <c r="O60" s="445">
        <f>SUM(O56:O59)</f>
        <v>0.56698999999999999</v>
      </c>
      <c r="P60" s="412">
        <f>M60+N60*$N$6+O60*$O$6</f>
        <v>14213.697674800002</v>
      </c>
      <c r="Q60" s="412">
        <f>Q59</f>
        <v>14213.6976748</v>
      </c>
      <c r="R60" s="412">
        <f>SUM(R56:R59)</f>
        <v>6128</v>
      </c>
      <c r="S60" s="887"/>
      <c r="T60" s="427">
        <f>(R60-R47)/R47</f>
        <v>0.18141507615191826</v>
      </c>
      <c r="U60" s="428">
        <f t="shared" si="29"/>
        <v>0.10959467368414488</v>
      </c>
      <c r="AD60" s="411">
        <f t="shared" si="22"/>
        <v>50523.51</v>
      </c>
      <c r="AE60" s="411">
        <f t="shared" si="23"/>
        <v>0.60632160000000002</v>
      </c>
      <c r="AF60" s="411">
        <f t="shared" si="24"/>
        <v>2.0123199999999999</v>
      </c>
      <c r="AG60" s="412">
        <f t="shared" si="7"/>
        <v>51073.751804799998</v>
      </c>
      <c r="AH60" s="412">
        <f>AH59</f>
        <v>51073.751804800006</v>
      </c>
      <c r="AI60" s="412">
        <f t="shared" si="25"/>
        <v>6765</v>
      </c>
      <c r="AJ60" s="887"/>
      <c r="AK60" s="427">
        <f>(AI60-AI47)/AI47</f>
        <v>0.16337059329320722</v>
      </c>
      <c r="AL60" s="428">
        <f t="shared" si="30"/>
        <v>0.22989198096049024</v>
      </c>
      <c r="AN60" s="112"/>
      <c r="BI60" s="50" t="s">
        <v>356</v>
      </c>
      <c r="BJ60" s="50">
        <f t="shared" si="21"/>
        <v>2020.2499999999957</v>
      </c>
      <c r="BK60" s="431">
        <v>47735.9</v>
      </c>
      <c r="BM60" s="162">
        <f t="shared" si="26"/>
        <v>-0.2719612370706353</v>
      </c>
      <c r="BO60" s="431">
        <f>SUM(BK9:BK16)</f>
        <v>446284.9</v>
      </c>
      <c r="BT60" s="432" t="s">
        <v>356</v>
      </c>
      <c r="BU60" s="433">
        <v>47267.199999999997</v>
      </c>
      <c r="BW60" s="162">
        <f t="shared" si="27"/>
        <v>-5.9025883795652989E-2</v>
      </c>
      <c r="BY60" s="431">
        <f>SUM(BU9:BU16)</f>
        <v>359424.50000000006</v>
      </c>
      <c r="CC60" s="431">
        <f>BO60+BY60</f>
        <v>805709.40000000014</v>
      </c>
    </row>
    <row r="61" spans="1:82" ht="15" customHeight="1" x14ac:dyDescent="0.75">
      <c r="A61" s="883">
        <v>2020</v>
      </c>
      <c r="B61" s="388" t="s">
        <v>289</v>
      </c>
      <c r="C61" s="389">
        <v>0</v>
      </c>
      <c r="D61" s="390">
        <v>0</v>
      </c>
      <c r="E61" s="391">
        <v>0</v>
      </c>
      <c r="F61" s="392">
        <f t="shared" ref="F61:F73" si="31">C61+D61*$D$6+E61*$E$6</f>
        <v>0</v>
      </c>
      <c r="G61" s="438">
        <f>F61</f>
        <v>0</v>
      </c>
      <c r="H61" s="438">
        <v>0</v>
      </c>
      <c r="I61" s="885" t="str">
        <f>"Milli áranna "&amp; $A48 &amp;" og "&amp; $A61</f>
        <v>Milli áranna 2019 og 2020</v>
      </c>
      <c r="J61" s="449">
        <f t="shared" ref="J61:J73" si="32">(H61-H48)/H48</f>
        <v>-1</v>
      </c>
      <c r="K61" s="416">
        <f t="shared" si="28"/>
        <v>-1</v>
      </c>
      <c r="M61" s="389">
        <v>0</v>
      </c>
      <c r="N61" s="390">
        <v>0</v>
      </c>
      <c r="O61" s="391">
        <v>0</v>
      </c>
      <c r="P61" s="392">
        <f t="shared" ref="P61:P72" si="33">M61+N61*$N$6+O61*$O$6</f>
        <v>0</v>
      </c>
      <c r="Q61" s="438">
        <f>P61</f>
        <v>0</v>
      </c>
      <c r="R61" s="438">
        <v>0</v>
      </c>
      <c r="S61" s="885" t="str">
        <f>"Milli áranna "&amp; $A48 &amp;" og "&amp; $A61</f>
        <v>Milli áranna 2019 og 2020</v>
      </c>
      <c r="T61" s="415">
        <f t="shared" ref="T61:T71" si="34">(R61-R48)/R48</f>
        <v>-1</v>
      </c>
      <c r="U61" s="416">
        <f t="shared" si="29"/>
        <v>-1</v>
      </c>
      <c r="AD61" s="389">
        <f t="shared" si="22"/>
        <v>0</v>
      </c>
      <c r="AE61" s="457">
        <f t="shared" si="23"/>
        <v>0</v>
      </c>
      <c r="AF61" s="460">
        <f t="shared" si="24"/>
        <v>0</v>
      </c>
      <c r="AG61" s="392">
        <f t="shared" ref="AG61:AG72" si="35">AD61+AE61*$AE$6+AF61*$AF$6</f>
        <v>0</v>
      </c>
      <c r="AH61" s="438">
        <f>AG61</f>
        <v>0</v>
      </c>
      <c r="AI61" s="438">
        <f t="shared" si="25"/>
        <v>0</v>
      </c>
      <c r="AJ61" s="885" t="str">
        <f>"Milli áranna "&amp; $A48 &amp;" og "&amp; $A61</f>
        <v>Milli áranna 2019 og 2020</v>
      </c>
      <c r="AK61" s="415">
        <f t="shared" ref="AK61:AK70" si="36">(AI61-AI48)/AI48</f>
        <v>-1</v>
      </c>
      <c r="AL61" s="416">
        <f t="shared" si="30"/>
        <v>-1</v>
      </c>
      <c r="BI61" s="50" t="s">
        <v>357</v>
      </c>
      <c r="BJ61" s="50">
        <f t="shared" si="21"/>
        <v>2020.3333333333289</v>
      </c>
      <c r="BK61" s="431">
        <v>51382.8</v>
      </c>
      <c r="BM61" s="162">
        <f t="shared" si="26"/>
        <v>-0.2220290943446504</v>
      </c>
      <c r="BO61" s="431">
        <f>SUM(BK21:BK28)</f>
        <v>443910</v>
      </c>
      <c r="BP61" s="162">
        <f>(BO61-BO60)/BO60</f>
        <v>-5.3214885827417039E-3</v>
      </c>
      <c r="BT61" s="432" t="s">
        <v>357</v>
      </c>
      <c r="BU61" s="433">
        <v>52949.1</v>
      </c>
      <c r="BW61" s="162">
        <f t="shared" si="27"/>
        <v>-0.16260190888890649</v>
      </c>
      <c r="BY61" s="431">
        <f>SUM(BU21:BU28)</f>
        <v>329973.8</v>
      </c>
      <c r="BZ61" s="162">
        <f>(BY61-BY60)/BY60</f>
        <v>-8.1938487776988117E-2</v>
      </c>
      <c r="CC61" s="431">
        <f>BO61+BY61</f>
        <v>773883.8</v>
      </c>
      <c r="CD61" s="162">
        <f>(CC61-CC60)/CC60</f>
        <v>-3.9500097677897375E-2</v>
      </c>
    </row>
    <row r="62" spans="1:82" ht="14.75" x14ac:dyDescent="0.75">
      <c r="A62" s="883"/>
      <c r="B62" s="396" t="s">
        <v>291</v>
      </c>
      <c r="C62" s="397">
        <v>19000</v>
      </c>
      <c r="D62" s="398">
        <v>0.245</v>
      </c>
      <c r="E62" s="399">
        <v>0.76600000000000001</v>
      </c>
      <c r="F62" s="400">
        <f t="shared" si="31"/>
        <v>19209.850000000002</v>
      </c>
      <c r="G62" s="439">
        <f>F62+F61</f>
        <v>19209.850000000002</v>
      </c>
      <c r="H62" s="439">
        <v>267</v>
      </c>
      <c r="I62" s="886"/>
      <c r="J62" s="450">
        <f t="shared" si="32"/>
        <v>-0.1981981981981982</v>
      </c>
      <c r="K62" s="420">
        <f t="shared" si="28"/>
        <v>0.33802353365650012</v>
      </c>
      <c r="M62" s="397">
        <v>205</v>
      </c>
      <c r="N62" s="398">
        <v>2.5400000000000002E-3</v>
      </c>
      <c r="O62" s="399">
        <v>8.1499999999999993E-3</v>
      </c>
      <c r="P62" s="400">
        <f t="shared" si="33"/>
        <v>207.23087000000001</v>
      </c>
      <c r="Q62" s="439">
        <f>P62+P61</f>
        <v>207.23087000000001</v>
      </c>
      <c r="R62" s="439">
        <v>3</v>
      </c>
      <c r="S62" s="886"/>
      <c r="T62" s="419">
        <f t="shared" si="34"/>
        <v>-0.5</v>
      </c>
      <c r="U62" s="420">
        <f t="shared" si="29"/>
        <v>0.17802883967119251</v>
      </c>
      <c r="AD62" s="397">
        <f t="shared" si="22"/>
        <v>19205</v>
      </c>
      <c r="AE62" s="458">
        <f t="shared" si="23"/>
        <v>0.24753999999999998</v>
      </c>
      <c r="AF62" s="461">
        <f t="shared" si="24"/>
        <v>0.77415</v>
      </c>
      <c r="AG62" s="400">
        <f t="shared" si="35"/>
        <v>19417.080870000002</v>
      </c>
      <c r="AH62" s="439">
        <f>AG62+AG61</f>
        <v>19417.080870000002</v>
      </c>
      <c r="AI62" s="439">
        <f t="shared" si="25"/>
        <v>270</v>
      </c>
      <c r="AJ62" s="886"/>
      <c r="AK62" s="419">
        <f t="shared" si="36"/>
        <v>-0.20353982300884957</v>
      </c>
      <c r="AL62" s="420">
        <f t="shared" si="30"/>
        <v>0.33608686705334745</v>
      </c>
      <c r="BI62" s="50" t="s">
        <v>358</v>
      </c>
      <c r="BJ62" s="50">
        <f t="shared" si="21"/>
        <v>2020.4166666666622</v>
      </c>
      <c r="BK62" s="431">
        <v>59472</v>
      </c>
      <c r="BM62" s="162">
        <f t="shared" si="26"/>
        <v>-0.20360808176033257</v>
      </c>
      <c r="BO62" s="431">
        <f>SUM(BK33:BK40)</f>
        <v>506662.70000000007</v>
      </c>
      <c r="BP62" s="162">
        <f>(BO62-BO61)/BO61</f>
        <v>0.14136356468653571</v>
      </c>
      <c r="BT62" s="432" t="s">
        <v>358</v>
      </c>
      <c r="BU62" s="433">
        <v>46495.1</v>
      </c>
      <c r="BW62" s="162">
        <f t="shared" si="27"/>
        <v>1.765878791725662E-2</v>
      </c>
      <c r="BY62" s="431">
        <f>SUM(BU33:BU40)</f>
        <v>385477.5</v>
      </c>
      <c r="BZ62" s="162">
        <f>(BY62-BY61)/BY61</f>
        <v>0.16820638487055642</v>
      </c>
      <c r="CC62" s="431">
        <f>BO62+BY62</f>
        <v>892140.20000000007</v>
      </c>
      <c r="CD62" s="162">
        <f>(CC62-CC61)/CC61</f>
        <v>0.15280898760253156</v>
      </c>
    </row>
    <row r="63" spans="1:82" ht="14.75" x14ac:dyDescent="0.75">
      <c r="A63" s="883"/>
      <c r="B63" s="396" t="s">
        <v>293</v>
      </c>
      <c r="C63" s="397">
        <v>1210</v>
      </c>
      <c r="D63" s="398">
        <v>1.6299999999999999E-2</v>
      </c>
      <c r="E63" s="399">
        <v>5.1700000000000003E-2</v>
      </c>
      <c r="F63" s="400">
        <f t="shared" si="31"/>
        <v>1224.1569</v>
      </c>
      <c r="G63" s="439">
        <f>F63+F62+F61</f>
        <v>20434.0069</v>
      </c>
      <c r="H63" s="439">
        <v>100</v>
      </c>
      <c r="I63" s="886"/>
      <c r="J63" s="450">
        <f t="shared" si="32"/>
        <v>-0.18032786885245902</v>
      </c>
      <c r="K63" s="420">
        <f t="shared" si="28"/>
        <v>-0.29651180665657045</v>
      </c>
      <c r="M63" s="397">
        <v>0</v>
      </c>
      <c r="N63" s="398">
        <v>0</v>
      </c>
      <c r="O63" s="399">
        <v>0</v>
      </c>
      <c r="P63" s="400">
        <f t="shared" si="33"/>
        <v>0</v>
      </c>
      <c r="Q63" s="439">
        <f>P63+P62+P61</f>
        <v>207.23087000000001</v>
      </c>
      <c r="R63" s="439">
        <v>0</v>
      </c>
      <c r="S63" s="886"/>
      <c r="T63" s="419">
        <f t="shared" si="34"/>
        <v>-1</v>
      </c>
      <c r="U63" s="420">
        <f t="shared" si="29"/>
        <v>-1</v>
      </c>
      <c r="AD63" s="397">
        <f t="shared" si="22"/>
        <v>1210</v>
      </c>
      <c r="AE63" s="458">
        <f t="shared" si="23"/>
        <v>1.6299999999999999E-2</v>
      </c>
      <c r="AF63" s="461">
        <f t="shared" si="24"/>
        <v>5.1700000000000003E-2</v>
      </c>
      <c r="AG63" s="400">
        <f t="shared" si="35"/>
        <v>1224.1569</v>
      </c>
      <c r="AH63" s="439">
        <f>AG63+AG62+AG61</f>
        <v>20641.23777</v>
      </c>
      <c r="AI63" s="439">
        <f t="shared" si="25"/>
        <v>100</v>
      </c>
      <c r="AJ63" s="886"/>
      <c r="AK63" s="419">
        <f t="shared" si="36"/>
        <v>-0.19354838709677419</v>
      </c>
      <c r="AL63" s="420">
        <f t="shared" si="30"/>
        <v>-0.29960998549167389</v>
      </c>
      <c r="BI63" s="50" t="s">
        <v>359</v>
      </c>
      <c r="BJ63" s="50">
        <f t="shared" si="21"/>
        <v>2020.4999999999955</v>
      </c>
      <c r="BK63" s="431">
        <v>58235</v>
      </c>
      <c r="BM63" s="162">
        <f t="shared" si="26"/>
        <v>-0.18621306446992406</v>
      </c>
      <c r="BO63" s="431">
        <f>SUM(BK45:BK52)</f>
        <v>510699.5</v>
      </c>
      <c r="BP63" s="162">
        <f>(BO63-BO62)/BO62</f>
        <v>7.9674307976488681E-3</v>
      </c>
      <c r="BT63" s="432" t="s">
        <v>359</v>
      </c>
      <c r="BU63" s="433">
        <v>46768.1</v>
      </c>
      <c r="BW63" s="162">
        <f t="shared" si="27"/>
        <v>-9.2036700524958923E-2</v>
      </c>
      <c r="BY63" s="431">
        <f>SUM(BU45:BU52)</f>
        <v>430513.1</v>
      </c>
      <c r="BZ63" s="162">
        <f>(BY63-BY62)/BY62</f>
        <v>0.11683068402176515</v>
      </c>
      <c r="CC63" s="431">
        <f>BO63+BY63</f>
        <v>941212.6</v>
      </c>
      <c r="CD63" s="162">
        <f>(CC63-CC62)/CC62</f>
        <v>5.5005255900361739E-2</v>
      </c>
    </row>
    <row r="64" spans="1:82" ht="14.75" x14ac:dyDescent="0.75">
      <c r="A64" s="883"/>
      <c r="B64" s="396" t="s">
        <v>295</v>
      </c>
      <c r="C64" s="397">
        <v>68</v>
      </c>
      <c r="D64" s="398">
        <v>7.8299999999999995E-4</v>
      </c>
      <c r="E64" s="399">
        <v>2.5200000000000001E-3</v>
      </c>
      <c r="F64" s="400">
        <f t="shared" si="31"/>
        <v>68.689723999999998</v>
      </c>
      <c r="G64" s="439">
        <f>SUM(F61:F64)</f>
        <v>20502.696624</v>
      </c>
      <c r="H64" s="439">
        <v>2</v>
      </c>
      <c r="I64" s="886"/>
      <c r="J64" s="450">
        <f t="shared" si="32"/>
        <v>-0.77777777777777779</v>
      </c>
      <c r="K64" s="420">
        <f t="shared" si="28"/>
        <v>-0.90631508171760866</v>
      </c>
      <c r="M64" s="397">
        <v>1100</v>
      </c>
      <c r="N64" s="398">
        <v>0.17299999999999999</v>
      </c>
      <c r="O64" s="399">
        <v>4.3400000000000001E-2</v>
      </c>
      <c r="P64" s="400">
        <f t="shared" si="33"/>
        <v>1116.345</v>
      </c>
      <c r="Q64" s="439">
        <f>SUM(P61:P64)</f>
        <v>1323.5758700000001</v>
      </c>
      <c r="R64" s="439">
        <v>150</v>
      </c>
      <c r="S64" s="886"/>
      <c r="T64" s="419">
        <f t="shared" si="34"/>
        <v>0.11940298507462686</v>
      </c>
      <c r="U64" s="420">
        <f t="shared" si="29"/>
        <v>-1.3916092526857653E-2</v>
      </c>
      <c r="AD64" s="397">
        <f t="shared" si="22"/>
        <v>1168</v>
      </c>
      <c r="AE64" s="458">
        <f t="shared" si="23"/>
        <v>0.17378299999999999</v>
      </c>
      <c r="AF64" s="461">
        <f t="shared" si="24"/>
        <v>4.5920000000000002E-2</v>
      </c>
      <c r="AG64" s="400">
        <f t="shared" si="35"/>
        <v>1185.0347239999999</v>
      </c>
      <c r="AH64" s="439">
        <f>SUM(AG61:AG64)</f>
        <v>21826.272494000001</v>
      </c>
      <c r="AI64" s="439">
        <f t="shared" si="25"/>
        <v>152</v>
      </c>
      <c r="AJ64" s="886"/>
      <c r="AK64" s="419">
        <f t="shared" si="36"/>
        <v>6.2937062937062943E-2</v>
      </c>
      <c r="AL64" s="420">
        <f t="shared" si="30"/>
        <v>-0.36469441962536425</v>
      </c>
      <c r="BI64" s="50" t="s">
        <v>360</v>
      </c>
      <c r="BJ64" s="50">
        <f t="shared" si="21"/>
        <v>2020.5833333333287</v>
      </c>
      <c r="BK64" s="431">
        <v>55303.6</v>
      </c>
      <c r="BM64" s="162">
        <f>(BK64-BK52)/BK52</f>
        <v>-4.8022666946675577E-2</v>
      </c>
      <c r="BO64" s="431">
        <f>SUM(BK57:BK64)</f>
        <v>441254.3</v>
      </c>
      <c r="BP64" s="162">
        <f>(BO64-BO63)/BO63</f>
        <v>-0.13598055216423752</v>
      </c>
      <c r="BT64" s="432" t="s">
        <v>360</v>
      </c>
      <c r="BU64" s="433">
        <v>44056.6</v>
      </c>
      <c r="BW64" s="162">
        <f>(BU64-BU52)/BU52</f>
        <v>-3.9876739077373748E-2</v>
      </c>
      <c r="BY64" s="431">
        <f>SUM(BU57:BU64)</f>
        <v>386555.19999999995</v>
      </c>
      <c r="BZ64" s="162">
        <f>(BY64-BY63)/BY63</f>
        <v>-0.10210583603611603</v>
      </c>
      <c r="CC64" s="431">
        <f>BO64+BY64</f>
        <v>827809.5</v>
      </c>
      <c r="CD64" s="162">
        <f>(CC64-CC63)/CC63</f>
        <v>-0.12048616858720333</v>
      </c>
    </row>
    <row r="65" spans="1:61" ht="14.25" x14ac:dyDescent="0.65">
      <c r="A65" s="883"/>
      <c r="B65" s="440" t="s">
        <v>297</v>
      </c>
      <c r="C65" s="397">
        <f>SUM(C61:C64)</f>
        <v>20278</v>
      </c>
      <c r="D65" s="398">
        <f>SUM(D61:D64)</f>
        <v>0.26208299999999995</v>
      </c>
      <c r="E65" s="399">
        <f>SUM(E61:E64)</f>
        <v>0.82021999999999995</v>
      </c>
      <c r="F65" s="400">
        <f t="shared" si="31"/>
        <v>20502.696624</v>
      </c>
      <c r="G65" s="439">
        <f>SUM(F65)</f>
        <v>20502.696624</v>
      </c>
      <c r="H65" s="439">
        <f>SUM(H61:H64)</f>
        <v>369</v>
      </c>
      <c r="I65" s="886"/>
      <c r="J65" s="450">
        <f t="shared" si="32"/>
        <v>-0.22641509433962265</v>
      </c>
      <c r="K65" s="420">
        <f t="shared" si="28"/>
        <v>0.14790138133037545</v>
      </c>
      <c r="M65" s="397">
        <f>SUM(M61:M64)</f>
        <v>1305</v>
      </c>
      <c r="N65" s="398">
        <f>SUM(N61:N64)</f>
        <v>0.17553999999999997</v>
      </c>
      <c r="O65" s="399">
        <f>SUM(O61:O64)</f>
        <v>5.1549999999999999E-2</v>
      </c>
      <c r="P65" s="400">
        <f t="shared" si="33"/>
        <v>1323.5758699999999</v>
      </c>
      <c r="Q65" s="439">
        <f>SUM(P65)</f>
        <v>1323.5758699999999</v>
      </c>
      <c r="R65" s="439">
        <f>SUM(R61:R64)</f>
        <v>153</v>
      </c>
      <c r="S65" s="886"/>
      <c r="T65" s="419">
        <f t="shared" si="34"/>
        <v>6.9930069930069935E-2</v>
      </c>
      <c r="U65" s="420">
        <f t="shared" si="29"/>
        <v>-0.27699335292758887</v>
      </c>
      <c r="AD65" s="397">
        <f t="shared" si="22"/>
        <v>21583</v>
      </c>
      <c r="AE65" s="458">
        <f t="shared" si="23"/>
        <v>0.43762299999999993</v>
      </c>
      <c r="AF65" s="461">
        <f t="shared" si="24"/>
        <v>0.87176999999999993</v>
      </c>
      <c r="AG65" s="400">
        <f>AD65+AE65*$AE$6+AF65*$AF$6</f>
        <v>21826.272494000001</v>
      </c>
      <c r="AH65" s="439">
        <f>SUM(AG65)</f>
        <v>21826.272494000001</v>
      </c>
      <c r="AI65" s="439">
        <f t="shared" si="25"/>
        <v>522</v>
      </c>
      <c r="AJ65" s="886"/>
      <c r="AK65" s="419">
        <f t="shared" si="36"/>
        <v>-0.15806451612903225</v>
      </c>
      <c r="AL65" s="420">
        <f t="shared" si="30"/>
        <v>0.1084006533125252</v>
      </c>
    </row>
    <row r="66" spans="1:61" ht="14.25" x14ac:dyDescent="0.65">
      <c r="A66" s="883"/>
      <c r="B66" s="396" t="s">
        <v>299</v>
      </c>
      <c r="C66" s="397">
        <v>17</v>
      </c>
      <c r="D66" s="398">
        <v>1.94E-4</v>
      </c>
      <c r="E66" s="399">
        <v>6.9399999999999996E-4</v>
      </c>
      <c r="F66" s="400">
        <f t="shared" si="31"/>
        <v>17.189342</v>
      </c>
      <c r="G66" s="439">
        <f>F65+F66</f>
        <v>20519.885966000002</v>
      </c>
      <c r="H66" s="439">
        <v>1</v>
      </c>
      <c r="I66" s="886"/>
      <c r="J66" s="450">
        <f t="shared" si="32"/>
        <v>-0.83333333333333337</v>
      </c>
      <c r="K66" s="420">
        <f t="shared" si="28"/>
        <v>-0.94116199076560458</v>
      </c>
      <c r="M66" s="397">
        <v>0</v>
      </c>
      <c r="N66" s="398">
        <v>0</v>
      </c>
      <c r="O66" s="399">
        <v>0</v>
      </c>
      <c r="P66" s="400">
        <f t="shared" si="33"/>
        <v>0</v>
      </c>
      <c r="Q66" s="439">
        <f>P65+P66</f>
        <v>1323.5758699999999</v>
      </c>
      <c r="R66" s="439">
        <v>0</v>
      </c>
      <c r="S66" s="886"/>
      <c r="T66" s="419">
        <f t="shared" si="34"/>
        <v>-1</v>
      </c>
      <c r="U66" s="420">
        <f t="shared" si="29"/>
        <v>-1</v>
      </c>
      <c r="AD66" s="397">
        <f t="shared" si="22"/>
        <v>17</v>
      </c>
      <c r="AE66" s="458">
        <f t="shared" si="23"/>
        <v>1.94E-4</v>
      </c>
      <c r="AF66" s="461">
        <f t="shared" si="24"/>
        <v>6.9399999999999996E-4</v>
      </c>
      <c r="AG66" s="400">
        <f t="shared" si="35"/>
        <v>17.189342</v>
      </c>
      <c r="AH66" s="439">
        <f>AG65+AG66</f>
        <v>21843.461836000002</v>
      </c>
      <c r="AI66" s="439">
        <f t="shared" si="25"/>
        <v>1</v>
      </c>
      <c r="AJ66" s="886"/>
      <c r="AK66" s="419">
        <f t="shared" si="36"/>
        <v>-0.9</v>
      </c>
      <c r="AL66" s="420">
        <f t="shared" si="30"/>
        <v>-0.94734006379834645</v>
      </c>
    </row>
    <row r="67" spans="1:61" ht="14.25" x14ac:dyDescent="0.65">
      <c r="A67" s="883"/>
      <c r="B67" s="396" t="s">
        <v>301</v>
      </c>
      <c r="C67" s="397">
        <v>300</v>
      </c>
      <c r="D67" s="398">
        <v>4.1000000000000003E-3</v>
      </c>
      <c r="E67" s="399">
        <v>1.2699999999999999E-2</v>
      </c>
      <c r="F67" s="400">
        <f t="shared" si="31"/>
        <v>303.4803</v>
      </c>
      <c r="G67" s="439">
        <f>F67+F66+F65</f>
        <v>20823.366266000001</v>
      </c>
      <c r="H67" s="439">
        <v>1</v>
      </c>
      <c r="I67" s="886"/>
      <c r="J67" s="450">
        <f t="shared" si="32"/>
        <v>-0.99029126213592233</v>
      </c>
      <c r="K67" s="420">
        <f t="shared" si="28"/>
        <v>-0.98179976668604951</v>
      </c>
      <c r="M67" s="397">
        <v>548</v>
      </c>
      <c r="N67" s="398">
        <v>5.0699999999999999E-3</v>
      </c>
      <c r="O67" s="399">
        <v>0.02</v>
      </c>
      <c r="P67" s="400">
        <f t="shared" si="33"/>
        <v>553.44195999999999</v>
      </c>
      <c r="Q67" s="439">
        <f>P67+P66+P65</f>
        <v>1877.0178299999998</v>
      </c>
      <c r="R67" s="439">
        <v>6</v>
      </c>
      <c r="S67" s="886"/>
      <c r="T67" s="419">
        <f t="shared" si="34"/>
        <v>-0.90322580645161288</v>
      </c>
      <c r="U67" s="420">
        <f t="shared" si="29"/>
        <v>-0.75242527446994889</v>
      </c>
      <c r="AD67" s="397">
        <f t="shared" si="22"/>
        <v>848</v>
      </c>
      <c r="AE67" s="458">
        <f t="shared" si="23"/>
        <v>9.1700000000000011E-3</v>
      </c>
      <c r="AF67" s="461">
        <f t="shared" si="24"/>
        <v>3.27E-2</v>
      </c>
      <c r="AG67" s="400">
        <f t="shared" si="35"/>
        <v>856.92225999999994</v>
      </c>
      <c r="AH67" s="439">
        <f>AG67+AG66+AG65</f>
        <v>22700.384096000002</v>
      </c>
      <c r="AI67" s="439">
        <f t="shared" si="25"/>
        <v>7</v>
      </c>
      <c r="AJ67" s="886"/>
      <c r="AK67" s="419">
        <f t="shared" si="36"/>
        <v>-0.95757575757575752</v>
      </c>
      <c r="AL67" s="420">
        <f t="shared" si="30"/>
        <v>-0.95468413185497347</v>
      </c>
    </row>
    <row r="68" spans="1:61" ht="14.25" x14ac:dyDescent="0.65">
      <c r="A68" s="883"/>
      <c r="B68" s="396" t="s">
        <v>303</v>
      </c>
      <c r="C68" s="397">
        <f>C67+C66</f>
        <v>317</v>
      </c>
      <c r="D68" s="398">
        <f>D67+D66</f>
        <v>4.2940000000000001E-3</v>
      </c>
      <c r="E68" s="399">
        <f>E67+E66</f>
        <v>1.3394E-2</v>
      </c>
      <c r="F68" s="400">
        <f t="shared" si="31"/>
        <v>320.66964200000001</v>
      </c>
      <c r="G68" s="439">
        <f>F68+F65</f>
        <v>20823.366266000001</v>
      </c>
      <c r="H68" s="439">
        <f>H67+H66</f>
        <v>2</v>
      </c>
      <c r="I68" s="886"/>
      <c r="J68" s="450">
        <f t="shared" si="32"/>
        <v>-0.98165137614678899</v>
      </c>
      <c r="K68" s="420">
        <f t="shared" si="28"/>
        <v>-0.98110003027169446</v>
      </c>
      <c r="M68" s="397">
        <f>M67+M66</f>
        <v>548</v>
      </c>
      <c r="N68" s="398">
        <f>N67+N66</f>
        <v>5.0699999999999999E-3</v>
      </c>
      <c r="O68" s="399">
        <f>O67+O66</f>
        <v>0.02</v>
      </c>
      <c r="P68" s="400">
        <f t="shared" si="33"/>
        <v>553.44195999999999</v>
      </c>
      <c r="Q68" s="439">
        <f>P68+P65</f>
        <v>1877.0178299999998</v>
      </c>
      <c r="R68" s="439">
        <f>R67+R66</f>
        <v>6</v>
      </c>
      <c r="S68" s="886"/>
      <c r="T68" s="419">
        <f t="shared" si="34"/>
        <v>-0.90909090909090906</v>
      </c>
      <c r="U68" s="420">
        <f t="shared" si="29"/>
        <v>-0.75616385125983099</v>
      </c>
      <c r="AD68" s="397">
        <f t="shared" si="22"/>
        <v>865</v>
      </c>
      <c r="AE68" s="458">
        <f t="shared" si="23"/>
        <v>9.3640000000000008E-3</v>
      </c>
      <c r="AF68" s="461">
        <f t="shared" si="24"/>
        <v>3.3394E-2</v>
      </c>
      <c r="AG68" s="400">
        <f t="shared" si="35"/>
        <v>874.11160200000006</v>
      </c>
      <c r="AH68" s="439">
        <f>AG68+AG65</f>
        <v>22700.384096000002</v>
      </c>
      <c r="AI68" s="439">
        <f t="shared" si="25"/>
        <v>8</v>
      </c>
      <c r="AJ68" s="886"/>
      <c r="AK68" s="419">
        <f t="shared" si="36"/>
        <v>-0.95428571428571429</v>
      </c>
      <c r="AL68" s="420">
        <f t="shared" si="30"/>
        <v>-0.95455951071173983</v>
      </c>
      <c r="BI68" s="50" t="s">
        <v>361</v>
      </c>
    </row>
    <row r="69" spans="1:61" ht="14.25" x14ac:dyDescent="0.65">
      <c r="A69" s="883"/>
      <c r="B69" s="396" t="s">
        <v>305</v>
      </c>
      <c r="C69" s="397">
        <f>C68+C65</f>
        <v>20595</v>
      </c>
      <c r="D69" s="442">
        <f>D68+D65</f>
        <v>0.26637699999999997</v>
      </c>
      <c r="E69" s="443">
        <f>E68+E65</f>
        <v>0.83361399999999997</v>
      </c>
      <c r="F69" s="400">
        <f t="shared" si="31"/>
        <v>20823.366266000001</v>
      </c>
      <c r="G69" s="439">
        <f>F69</f>
        <v>20823.366266000001</v>
      </c>
      <c r="H69" s="439">
        <f>H68+H65</f>
        <v>371</v>
      </c>
      <c r="I69" s="886"/>
      <c r="J69" s="450">
        <f t="shared" si="32"/>
        <v>-0.36689419795221845</v>
      </c>
      <c r="K69" s="420">
        <f t="shared" si="28"/>
        <v>-0.40210333670407161</v>
      </c>
      <c r="M69" s="397">
        <f>M68+M65</f>
        <v>1853</v>
      </c>
      <c r="N69" s="442">
        <f>N68+N65</f>
        <v>0.18060999999999997</v>
      </c>
      <c r="O69" s="443">
        <f>O68+O65</f>
        <v>7.1550000000000002E-2</v>
      </c>
      <c r="P69" s="400">
        <f t="shared" si="33"/>
        <v>1877.01783</v>
      </c>
      <c r="Q69" s="439">
        <f>P69</f>
        <v>1877.01783</v>
      </c>
      <c r="R69" s="439">
        <f>R68+R65</f>
        <v>159</v>
      </c>
      <c r="S69" s="886"/>
      <c r="T69" s="419">
        <f t="shared" si="34"/>
        <v>-0.23923444976076555</v>
      </c>
      <c r="U69" s="420">
        <f t="shared" si="29"/>
        <v>-0.54223365971371851</v>
      </c>
      <c r="AD69" s="397">
        <f t="shared" si="22"/>
        <v>22448</v>
      </c>
      <c r="AE69" s="458">
        <f t="shared" si="23"/>
        <v>0.44698699999999991</v>
      </c>
      <c r="AF69" s="461">
        <f t="shared" si="24"/>
        <v>0.90516399999999997</v>
      </c>
      <c r="AG69" s="400">
        <f t="shared" si="35"/>
        <v>22700.384096000002</v>
      </c>
      <c r="AH69" s="439">
        <f>AG69</f>
        <v>22700.384096000002</v>
      </c>
      <c r="AI69" s="439">
        <f t="shared" si="25"/>
        <v>530</v>
      </c>
      <c r="AJ69" s="886"/>
      <c r="AK69" s="419">
        <f t="shared" si="36"/>
        <v>-0.33333333333333331</v>
      </c>
      <c r="AL69" s="420">
        <f t="shared" si="30"/>
        <v>-0.41686358364648496</v>
      </c>
    </row>
    <row r="70" spans="1:61" ht="14.25" x14ac:dyDescent="0.65">
      <c r="A70" s="883"/>
      <c r="B70" s="396" t="s">
        <v>35</v>
      </c>
      <c r="C70" s="397">
        <v>4740</v>
      </c>
      <c r="D70" s="398">
        <v>6.0400000000000002E-2</v>
      </c>
      <c r="E70" s="399">
        <v>0.191</v>
      </c>
      <c r="F70" s="400">
        <f t="shared" si="31"/>
        <v>4792.3062</v>
      </c>
      <c r="G70" s="439">
        <f>F69+F70</f>
        <v>25615.672466</v>
      </c>
      <c r="H70" s="439">
        <v>53</v>
      </c>
      <c r="I70" s="886"/>
      <c r="J70" s="450">
        <f t="shared" si="32"/>
        <v>0.26190476190476192</v>
      </c>
      <c r="K70" s="420">
        <f t="shared" si="28"/>
        <v>1.5479964919435127</v>
      </c>
      <c r="M70" s="397">
        <v>8770</v>
      </c>
      <c r="N70" s="398">
        <v>0.114</v>
      </c>
      <c r="O70" s="399">
        <v>0.35899999999999999</v>
      </c>
      <c r="P70" s="400">
        <f t="shared" si="33"/>
        <v>8868.3269999999993</v>
      </c>
      <c r="Q70" s="439">
        <f>P69+P70</f>
        <v>10745.34483</v>
      </c>
      <c r="R70" s="439">
        <v>240</v>
      </c>
      <c r="S70" s="886"/>
      <c r="T70" s="419">
        <f t="shared" si="34"/>
        <v>-0.18367346938775511</v>
      </c>
      <c r="U70" s="420">
        <f t="shared" si="29"/>
        <v>8.7940984444784029E-2</v>
      </c>
      <c r="AD70" s="397">
        <f t="shared" si="22"/>
        <v>13510</v>
      </c>
      <c r="AE70" s="458">
        <f t="shared" si="23"/>
        <v>0.1744</v>
      </c>
      <c r="AF70" s="461">
        <f t="shared" si="24"/>
        <v>0.55000000000000004</v>
      </c>
      <c r="AG70" s="400">
        <f t="shared" si="35"/>
        <v>13660.6332</v>
      </c>
      <c r="AH70" s="439">
        <f>AG69+AG70</f>
        <v>36361.017296000005</v>
      </c>
      <c r="AI70" s="439">
        <f t="shared" si="25"/>
        <v>293</v>
      </c>
      <c r="AJ70" s="886"/>
      <c r="AK70" s="419">
        <f t="shared" si="36"/>
        <v>-0.12797619047619047</v>
      </c>
      <c r="AL70" s="420">
        <f t="shared" si="30"/>
        <v>0.36166629528258831</v>
      </c>
    </row>
    <row r="71" spans="1:61" ht="14.25" x14ac:dyDescent="0.65">
      <c r="A71" s="883"/>
      <c r="B71" s="396" t="s">
        <v>308</v>
      </c>
      <c r="C71" s="397">
        <v>0</v>
      </c>
      <c r="D71" s="398">
        <v>0</v>
      </c>
      <c r="E71" s="399">
        <v>0</v>
      </c>
      <c r="F71" s="400">
        <f t="shared" si="31"/>
        <v>0</v>
      </c>
      <c r="G71" s="439">
        <f>SUM(F69:F71)</f>
        <v>25615.672466</v>
      </c>
      <c r="H71" s="439">
        <v>0</v>
      </c>
      <c r="I71" s="886"/>
      <c r="J71" s="450" t="e">
        <f t="shared" si="32"/>
        <v>#DIV/0!</v>
      </c>
      <c r="K71" s="420" t="e">
        <f t="shared" si="28"/>
        <v>#DIV/0!</v>
      </c>
      <c r="M71" s="397">
        <v>346</v>
      </c>
      <c r="N71" s="398">
        <v>4.1099999999999999E-3</v>
      </c>
      <c r="O71" s="399">
        <v>1.4999999999999999E-2</v>
      </c>
      <c r="P71" s="400">
        <f t="shared" si="33"/>
        <v>350.09008</v>
      </c>
      <c r="Q71" s="439">
        <f>SUM(P69:P71)</f>
        <v>11095.43491</v>
      </c>
      <c r="R71" s="439">
        <v>1773</v>
      </c>
      <c r="S71" s="886"/>
      <c r="T71" s="419">
        <f t="shared" si="34"/>
        <v>-0.68007939372067849</v>
      </c>
      <c r="U71" s="420">
        <f t="shared" si="29"/>
        <v>-0.6085597363042341</v>
      </c>
      <c r="AD71" s="397">
        <f t="shared" si="22"/>
        <v>346</v>
      </c>
      <c r="AE71" s="458">
        <f t="shared" si="23"/>
        <v>4.1099999999999999E-3</v>
      </c>
      <c r="AF71" s="461">
        <f t="shared" si="24"/>
        <v>1.4999999999999999E-2</v>
      </c>
      <c r="AG71" s="400">
        <f t="shared" si="35"/>
        <v>350.09008</v>
      </c>
      <c r="AH71" s="439">
        <f>SUM(AG69:AG71)</f>
        <v>36711.107376000007</v>
      </c>
      <c r="AI71" s="439">
        <f t="shared" si="25"/>
        <v>1773</v>
      </c>
      <c r="AJ71" s="886"/>
      <c r="AK71" s="419">
        <f>(AI71-AI58)/AI58</f>
        <v>-0.68007939372067849</v>
      </c>
      <c r="AL71" s="420">
        <f t="shared" si="30"/>
        <v>-0.6085597363042341</v>
      </c>
    </row>
    <row r="72" spans="1:61" ht="15" thickBot="1" x14ac:dyDescent="0.8">
      <c r="A72" s="896"/>
      <c r="B72" s="396" t="s">
        <v>310</v>
      </c>
      <c r="C72" s="405">
        <v>177</v>
      </c>
      <c r="D72" s="406">
        <v>1.8600000000000001E-3</v>
      </c>
      <c r="E72" s="407">
        <v>6.1700000000000001E-3</v>
      </c>
      <c r="F72" s="444">
        <f t="shared" si="31"/>
        <v>178.68713</v>
      </c>
      <c r="G72" s="439">
        <f>SUM(F69:F72)</f>
        <v>25794.359595999998</v>
      </c>
      <c r="H72" s="439">
        <v>14</v>
      </c>
      <c r="I72" s="886"/>
      <c r="J72" s="451">
        <f t="shared" si="32"/>
        <v>0.55555555555555558</v>
      </c>
      <c r="K72" s="424">
        <f t="shared" si="28"/>
        <v>0.17914518025162413</v>
      </c>
      <c r="M72" s="405">
        <v>678</v>
      </c>
      <c r="N72" s="406">
        <v>4.5999999999999999E-3</v>
      </c>
      <c r="O72" s="407">
        <v>1.6500000000000001E-2</v>
      </c>
      <c r="P72" s="444">
        <f t="shared" si="33"/>
        <v>682.5012999999999</v>
      </c>
      <c r="Q72" s="439">
        <f>SUM(P69:P72)</f>
        <v>11777.93621</v>
      </c>
      <c r="R72" s="439">
        <v>43</v>
      </c>
      <c r="S72" s="886"/>
      <c r="T72" s="423">
        <f>(R72-R59)/R59</f>
        <v>-0.48192771084337349</v>
      </c>
      <c r="U72" s="424">
        <f t="shared" si="29"/>
        <v>-0.36063748621087394</v>
      </c>
      <c r="AD72" s="405">
        <f t="shared" si="22"/>
        <v>855</v>
      </c>
      <c r="AE72" s="459">
        <f t="shared" si="23"/>
        <v>6.4600000000000005E-3</v>
      </c>
      <c r="AF72" s="462">
        <f t="shared" si="24"/>
        <v>2.2670000000000003E-2</v>
      </c>
      <c r="AG72" s="444">
        <f t="shared" si="35"/>
        <v>861.18843000000004</v>
      </c>
      <c r="AH72" s="439">
        <f>SUM(AG69:AG72)</f>
        <v>37572.295806000009</v>
      </c>
      <c r="AI72" s="439">
        <f t="shared" si="25"/>
        <v>57</v>
      </c>
      <c r="AJ72" s="886"/>
      <c r="AK72" s="423">
        <f>(AI72-AI59)/AI59</f>
        <v>-0.38043478260869568</v>
      </c>
      <c r="AL72" s="424">
        <f t="shared" si="30"/>
        <v>-0.29353520822299978</v>
      </c>
    </row>
    <row r="73" spans="1:61" ht="15" thickBot="1" x14ac:dyDescent="0.75">
      <c r="A73" s="409" t="s">
        <v>21</v>
      </c>
      <c r="B73" s="410">
        <f>A61</f>
        <v>2020</v>
      </c>
      <c r="C73" s="411">
        <f>SUM(C69:C72)</f>
        <v>25512</v>
      </c>
      <c r="D73" s="445">
        <f>SUM(D69:D72)</f>
        <v>0.32863699999999996</v>
      </c>
      <c r="E73" s="445">
        <f>SUM(E69:E72)</f>
        <v>1.0307839999999999</v>
      </c>
      <c r="F73" s="412">
        <f t="shared" si="31"/>
        <v>25794.359595999998</v>
      </c>
      <c r="G73" s="412">
        <f>G72</f>
        <v>25794.359595999998</v>
      </c>
      <c r="H73" s="412">
        <f>SUM(H69:H72)</f>
        <v>438</v>
      </c>
      <c r="I73" s="887"/>
      <c r="J73" s="427">
        <f t="shared" si="32"/>
        <v>-0.31240188383045525</v>
      </c>
      <c r="K73" s="428">
        <f t="shared" si="28"/>
        <v>-0.30020830937938736</v>
      </c>
      <c r="M73" s="411">
        <f>SUM(M69:M72)</f>
        <v>11647</v>
      </c>
      <c r="N73" s="445">
        <f>SUM(N69:N72)</f>
        <v>0.30331999999999998</v>
      </c>
      <c r="O73" s="445">
        <f>SUM(O69:O72)</f>
        <v>0.46205000000000002</v>
      </c>
      <c r="P73" s="412">
        <f>M73+N73*$N$6+O73*$O$6</f>
        <v>11777.93621</v>
      </c>
      <c r="Q73" s="412">
        <f>Q72</f>
        <v>11777.93621</v>
      </c>
      <c r="R73" s="412">
        <f>SUM(R69:R72)</f>
        <v>2215</v>
      </c>
      <c r="S73" s="887"/>
      <c r="T73" s="427">
        <f>(R73-R60)/R60</f>
        <v>-0.63854438642297651</v>
      </c>
      <c r="U73" s="428">
        <f t="shared" si="29"/>
        <v>-0.17136719244552773</v>
      </c>
      <c r="AD73" s="411">
        <f t="shared" si="22"/>
        <v>37159</v>
      </c>
      <c r="AE73" s="802">
        <f t="shared" si="23"/>
        <v>0.63195699999999988</v>
      </c>
      <c r="AF73" s="803">
        <f t="shared" si="24"/>
        <v>1.492834</v>
      </c>
      <c r="AG73" s="412">
        <f>AD73+AE73*$AE$6+AF73*$AF$6</f>
        <v>37572.295806000002</v>
      </c>
      <c r="AH73" s="412">
        <f>AH72</f>
        <v>37572.295806000009</v>
      </c>
      <c r="AI73" s="412">
        <f t="shared" si="25"/>
        <v>2653</v>
      </c>
      <c r="AJ73" s="887"/>
      <c r="AK73" s="427">
        <f>(AI73-AI60)/AI60</f>
        <v>-0.6078344419807834</v>
      </c>
      <c r="AL73" s="428">
        <f t="shared" si="30"/>
        <v>-0.26435214805447493</v>
      </c>
    </row>
    <row r="75" spans="1:61" ht="14.25" x14ac:dyDescent="0.65">
      <c r="AE75" s="801">
        <f>AE73*28</f>
        <v>17.694795999999997</v>
      </c>
      <c r="AF75" s="801">
        <f>AF73*265</f>
        <v>395.60100999999997</v>
      </c>
    </row>
    <row r="76" spans="1:61" x14ac:dyDescent="0.6">
      <c r="AJ76" s="50" t="s">
        <v>631</v>
      </c>
    </row>
    <row r="77" spans="1:61" x14ac:dyDescent="0.6">
      <c r="AI77" s="50" t="s">
        <v>362</v>
      </c>
      <c r="AJ77" s="50" t="s">
        <v>218</v>
      </c>
    </row>
    <row r="78" spans="1:61" x14ac:dyDescent="0.6">
      <c r="AJ78" s="50" t="s">
        <v>297</v>
      </c>
    </row>
    <row r="79" spans="1:61" x14ac:dyDescent="0.6">
      <c r="AJ79" s="50" t="s">
        <v>303</v>
      </c>
    </row>
  </sheetData>
  <mergeCells count="36">
    <mergeCell ref="A2:K2"/>
    <mergeCell ref="A3:B5"/>
    <mergeCell ref="C3:K3"/>
    <mergeCell ref="M3:U3"/>
    <mergeCell ref="AD3:AL3"/>
    <mergeCell ref="G4:G6"/>
    <mergeCell ref="I4:K4"/>
    <mergeCell ref="Q4:Q6"/>
    <mergeCell ref="S4:U4"/>
    <mergeCell ref="AH4:AH6"/>
    <mergeCell ref="AI4:AI6"/>
    <mergeCell ref="R4:R6"/>
    <mergeCell ref="A61:A72"/>
    <mergeCell ref="I61:I73"/>
    <mergeCell ref="S61:S73"/>
    <mergeCell ref="AJ4:AL4"/>
    <mergeCell ref="S5:U5"/>
    <mergeCell ref="A7:B7"/>
    <mergeCell ref="AJ5:AL5"/>
    <mergeCell ref="C8:E8"/>
    <mergeCell ref="M8:O8"/>
    <mergeCell ref="AD8:AF8"/>
    <mergeCell ref="A9:A20"/>
    <mergeCell ref="AJ61:AJ73"/>
    <mergeCell ref="AJ22:AJ34"/>
    <mergeCell ref="A35:A46"/>
    <mergeCell ref="I35:I47"/>
    <mergeCell ref="A22:A33"/>
    <mergeCell ref="I22:I34"/>
    <mergeCell ref="S35:S47"/>
    <mergeCell ref="AJ35:AJ47"/>
    <mergeCell ref="A48:A59"/>
    <mergeCell ref="I48:I60"/>
    <mergeCell ref="S48:S60"/>
    <mergeCell ref="AJ48:AJ60"/>
    <mergeCell ref="S22:S34"/>
  </mergeCells>
  <hyperlinks>
    <hyperlink ref="AO16" r:id="rId1" xr:uid="{212921FB-31B9-49B4-BDDF-D7FF16614D4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DAAD-4314-4ECC-B9AA-9B38705BDA12}">
  <dimension ref="A2:BU88"/>
  <sheetViews>
    <sheetView topLeftCell="AU1" zoomScale="60" zoomScaleNormal="60" workbookViewId="0">
      <selection activeCell="AX62" sqref="AX62:BA65"/>
    </sheetView>
  </sheetViews>
  <sheetFormatPr defaultColWidth="9.1328125" defaultRowHeight="13" x14ac:dyDescent="0.6"/>
  <cols>
    <col min="1" max="1" width="9.1328125" style="50"/>
    <col min="2" max="2" width="16.7265625" style="50" customWidth="1"/>
    <col min="3" max="3" width="13" style="50" customWidth="1"/>
    <col min="4" max="4" width="13.54296875" style="50" customWidth="1"/>
    <col min="5" max="5" width="9.1328125" style="50"/>
    <col min="6" max="6" width="10.1328125" style="50" bestFit="1" customWidth="1"/>
    <col min="7" max="7" width="10.1328125" style="50" customWidth="1"/>
    <col min="8" max="9" width="10.54296875" style="50" customWidth="1"/>
    <col min="10" max="10" width="10.40625" style="50" customWidth="1"/>
    <col min="11" max="46" width="9.1328125" style="50"/>
    <col min="47" max="47" width="10.26953125" style="50" customWidth="1"/>
    <col min="48" max="49" width="9.1328125" style="50"/>
    <col min="50" max="50" width="19.40625" style="50" customWidth="1"/>
    <col min="51" max="51" width="9.1328125" style="50"/>
    <col min="52" max="52" width="11.86328125" style="50" customWidth="1"/>
    <col min="53" max="53" width="10.54296875" style="50" customWidth="1"/>
    <col min="54" max="54" width="11.40625" style="50" customWidth="1"/>
    <col min="55" max="56" width="9.1328125" style="50"/>
    <col min="57" max="57" width="11" style="50" customWidth="1"/>
    <col min="58" max="58" width="7.86328125" style="50" customWidth="1"/>
    <col min="59" max="60" width="10.54296875" style="50" customWidth="1"/>
    <col min="61" max="16384" width="9.1328125" style="50"/>
  </cols>
  <sheetData>
    <row r="2" spans="1:73" x14ac:dyDescent="0.6">
      <c r="AL2" s="50">
        <f>1/13</f>
        <v>7.6923076923076927E-2</v>
      </c>
      <c r="AO2" s="50">
        <f>1/12</f>
        <v>8.3333333333333329E-2</v>
      </c>
    </row>
    <row r="4" spans="1:73" ht="17.5" thickBot="1" x14ac:dyDescent="0.9">
      <c r="A4" s="901" t="s">
        <v>266</v>
      </c>
      <c r="B4" s="901"/>
      <c r="C4" s="901"/>
      <c r="D4" s="901"/>
      <c r="E4" s="901"/>
      <c r="F4" s="901"/>
      <c r="G4" s="901"/>
      <c r="H4" s="901"/>
      <c r="I4" s="901"/>
      <c r="J4" s="901"/>
      <c r="K4" s="901"/>
      <c r="L4" s="901"/>
      <c r="M4" s="901"/>
      <c r="N4" s="901"/>
      <c r="O4" s="901"/>
      <c r="P4" s="351"/>
      <c r="Q4" s="351"/>
      <c r="AW4" s="464"/>
      <c r="AX4" s="464"/>
      <c r="AY4" s="464"/>
      <c r="AZ4" s="464"/>
      <c r="BA4" s="464"/>
      <c r="BB4" s="464"/>
      <c r="BC4" s="464"/>
      <c r="BD4" s="464"/>
      <c r="BE4" s="464"/>
      <c r="BF4" s="464"/>
      <c r="BG4" s="464"/>
      <c r="BH4" s="464"/>
      <c r="BI4" s="464"/>
      <c r="BJ4" s="464"/>
      <c r="BK4" s="464"/>
      <c r="BL4" s="464"/>
      <c r="BM4" s="464"/>
      <c r="BN4" s="464"/>
      <c r="BO4" s="464"/>
      <c r="BP4" s="464"/>
      <c r="BQ4" s="464"/>
      <c r="BR4" s="464"/>
      <c r="BS4" s="464"/>
      <c r="BT4" s="464"/>
      <c r="BU4" s="464"/>
    </row>
    <row r="5" spans="1:73" ht="25.25" x14ac:dyDescent="1.05">
      <c r="A5" s="902"/>
      <c r="B5" s="903"/>
      <c r="C5" s="908" t="s">
        <v>267</v>
      </c>
      <c r="D5" s="909"/>
      <c r="E5" s="909"/>
      <c r="F5" s="909"/>
      <c r="G5" s="909"/>
      <c r="H5" s="909"/>
      <c r="I5" s="909"/>
      <c r="J5" s="909"/>
      <c r="K5" s="909"/>
      <c r="L5" s="909"/>
      <c r="M5" s="909"/>
      <c r="N5" s="909"/>
      <c r="O5" s="909"/>
      <c r="P5" s="352"/>
      <c r="Q5" s="352"/>
      <c r="R5" s="352"/>
      <c r="S5" s="352"/>
      <c r="AW5" s="902"/>
      <c r="AX5" s="903"/>
      <c r="AY5" s="908" t="s">
        <v>443</v>
      </c>
      <c r="AZ5" s="909"/>
      <c r="BA5" s="909"/>
      <c r="BB5" s="909"/>
      <c r="BC5" s="909"/>
      <c r="BD5" s="909"/>
      <c r="BE5" s="909"/>
      <c r="BF5" s="909"/>
      <c r="BG5" s="909"/>
      <c r="BH5" s="352"/>
      <c r="BI5" s="352"/>
      <c r="BJ5" s="464"/>
      <c r="BK5" s="464"/>
      <c r="BL5" s="464"/>
      <c r="BM5" s="464"/>
      <c r="BN5" s="464"/>
      <c r="BO5" s="464"/>
      <c r="BP5" s="464"/>
      <c r="BQ5" s="464"/>
      <c r="BR5" s="464"/>
      <c r="BS5" s="464"/>
      <c r="BT5" s="464"/>
      <c r="BU5" s="464"/>
    </row>
    <row r="6" spans="1:73" ht="25.25" x14ac:dyDescent="1.05">
      <c r="A6" s="904"/>
      <c r="B6" s="905"/>
      <c r="C6" s="353"/>
      <c r="D6" s="354"/>
      <c r="E6" s="355"/>
      <c r="F6" s="356"/>
      <c r="G6" s="357"/>
      <c r="H6" s="911"/>
      <c r="I6" s="358"/>
      <c r="J6" s="358"/>
      <c r="K6" s="914" t="s">
        <v>148</v>
      </c>
      <c r="L6" s="915"/>
      <c r="M6" s="915"/>
      <c r="N6" s="915"/>
      <c r="O6" s="915"/>
      <c r="P6" s="915"/>
      <c r="Q6" s="915"/>
      <c r="R6" s="915"/>
      <c r="S6" s="915"/>
      <c r="V6" s="255" t="str">
        <f>G9</f>
        <v>Farþegar</v>
      </c>
      <c r="W6" s="255" t="str">
        <f>H9</f>
        <v>Hreyfingar</v>
      </c>
      <c r="X6" s="255" t="str">
        <f>I9</f>
        <v>Cargo</v>
      </c>
      <c r="Y6" s="255" t="str">
        <f>J9</f>
        <v>Yfirflug</v>
      </c>
      <c r="AB6" s="255" t="str">
        <f>M9</f>
        <v>Hreyfingar</v>
      </c>
      <c r="AC6" s="255" t="str">
        <f>N9</f>
        <v>Cargo</v>
      </c>
      <c r="AD6" s="255" t="str">
        <f>O9</f>
        <v>Yfirflug</v>
      </c>
      <c r="AE6" s="255" t="str">
        <f>P9</f>
        <v>Farþegar</v>
      </c>
      <c r="AW6" s="904"/>
      <c r="AX6" s="905"/>
      <c r="AY6" s="353"/>
      <c r="AZ6" s="354"/>
      <c r="BA6" s="355"/>
      <c r="BB6" s="357"/>
      <c r="BC6" s="358"/>
      <c r="BD6" s="914" t="s">
        <v>148</v>
      </c>
      <c r="BE6" s="915"/>
      <c r="BF6" s="915"/>
      <c r="BG6" s="915"/>
      <c r="BH6" s="915"/>
      <c r="BI6" s="915"/>
      <c r="BJ6" s="464"/>
      <c r="BK6" s="464"/>
      <c r="BL6" s="464"/>
      <c r="BM6" s="464"/>
      <c r="BN6" s="464"/>
      <c r="BO6" s="464"/>
      <c r="BP6" s="464"/>
      <c r="BQ6" s="464"/>
      <c r="BR6" s="464"/>
      <c r="BS6" s="464"/>
      <c r="BT6" s="464"/>
      <c r="BU6" s="464"/>
    </row>
    <row r="7" spans="1:73" ht="25.25" x14ac:dyDescent="1.05">
      <c r="A7" s="906"/>
      <c r="B7" s="907"/>
      <c r="C7" s="359"/>
      <c r="D7" s="360"/>
      <c r="E7" s="361"/>
      <c r="F7" s="362"/>
      <c r="G7" s="363"/>
      <c r="H7" s="912"/>
      <c r="I7" s="364"/>
      <c r="J7" s="364"/>
      <c r="K7" s="365"/>
      <c r="L7" s="366"/>
      <c r="M7" s="366"/>
      <c r="N7" s="366"/>
      <c r="O7" s="366"/>
      <c r="P7" s="367"/>
      <c r="Q7" s="367"/>
      <c r="R7" s="367"/>
      <c r="S7" s="367"/>
      <c r="U7" s="50">
        <v>2016</v>
      </c>
      <c r="V7" s="112">
        <f t="shared" ref="V7:Y12" si="0">INDEX($C$9:$F$88,MATCH($U7,$B$9:$B$88,0),MATCH(V$6,$C$9:$F$9,0))</f>
        <v>417309</v>
      </c>
      <c r="W7" s="112">
        <f t="shared" si="0"/>
        <v>63732</v>
      </c>
      <c r="X7" s="112">
        <f t="shared" si="0"/>
        <v>1061</v>
      </c>
      <c r="Y7" s="112">
        <f t="shared" si="0"/>
        <v>111733</v>
      </c>
      <c r="AA7" s="50">
        <v>2016</v>
      </c>
      <c r="AB7" s="112">
        <f t="shared" ref="AB7:AE12" si="1">INDEX($G$9:$J$88,MATCH($U7,$B$9:$B$88,0),MATCH(AB$6,$G$9:$J$9,0))</f>
        <v>28087</v>
      </c>
      <c r="AC7" s="112">
        <f t="shared" si="1"/>
        <v>432</v>
      </c>
      <c r="AD7" s="112">
        <f t="shared" si="1"/>
        <v>41565</v>
      </c>
      <c r="AE7" s="112">
        <f t="shared" si="1"/>
        <v>154074</v>
      </c>
      <c r="AW7" s="906"/>
      <c r="AX7" s="907"/>
      <c r="AY7" s="359"/>
      <c r="AZ7" s="360"/>
      <c r="BA7" s="361"/>
      <c r="BB7" s="363"/>
      <c r="BC7" s="364"/>
      <c r="BD7" s="466"/>
      <c r="BE7" s="467"/>
      <c r="BF7" s="467"/>
      <c r="BG7" s="467"/>
      <c r="BH7" s="367"/>
      <c r="BI7" s="367"/>
      <c r="BJ7" s="464"/>
      <c r="BK7" s="464"/>
      <c r="BL7" s="464"/>
      <c r="BM7" s="464"/>
      <c r="BN7" s="943" t="s">
        <v>449</v>
      </c>
      <c r="BO7" s="944"/>
      <c r="BP7" s="944"/>
      <c r="BQ7" s="944"/>
      <c r="BR7" s="464"/>
      <c r="BS7" s="464"/>
      <c r="BT7" s="464"/>
      <c r="BU7" s="464"/>
    </row>
    <row r="8" spans="1:73" ht="14.25" customHeight="1" x14ac:dyDescent="0.65">
      <c r="A8" s="921" t="s">
        <v>268</v>
      </c>
      <c r="B8" s="922"/>
      <c r="C8" s="370"/>
      <c r="D8" s="371"/>
      <c r="E8" s="372"/>
      <c r="F8" s="371"/>
      <c r="G8" s="373"/>
      <c r="H8" s="913"/>
      <c r="I8" s="364"/>
      <c r="J8" s="364"/>
      <c r="K8" s="374"/>
      <c r="L8" s="917"/>
      <c r="M8" s="918"/>
      <c r="N8" s="918"/>
      <c r="O8" s="375"/>
      <c r="P8" s="376"/>
      <c r="Q8" s="376"/>
      <c r="R8" s="376"/>
      <c r="S8" s="376"/>
      <c r="U8" s="50">
        <v>2017</v>
      </c>
      <c r="V8" s="112">
        <f t="shared" si="0"/>
        <v>425515</v>
      </c>
      <c r="W8" s="112">
        <f t="shared" si="0"/>
        <v>64656</v>
      </c>
      <c r="X8" s="112">
        <f t="shared" si="0"/>
        <v>781</v>
      </c>
      <c r="Y8" s="112">
        <f t="shared" si="0"/>
        <v>120005</v>
      </c>
      <c r="AA8" s="50">
        <v>2017</v>
      </c>
      <c r="AB8" s="112">
        <f t="shared" si="1"/>
        <v>24184</v>
      </c>
      <c r="AC8" s="112">
        <f t="shared" si="1"/>
        <v>309</v>
      </c>
      <c r="AD8" s="112">
        <f t="shared" si="1"/>
        <v>43136</v>
      </c>
      <c r="AE8" s="112">
        <f t="shared" si="1"/>
        <v>156017</v>
      </c>
      <c r="AW8" s="921" t="s">
        <v>268</v>
      </c>
      <c r="AX8" s="922"/>
      <c r="AY8" s="370"/>
      <c r="AZ8" s="371"/>
      <c r="BA8" s="372"/>
      <c r="BB8" s="373"/>
      <c r="BC8" s="364"/>
      <c r="BD8" s="374"/>
      <c r="BE8" s="917"/>
      <c r="BF8" s="918"/>
      <c r="BG8" s="918"/>
      <c r="BH8" s="376"/>
      <c r="BI8" s="376"/>
      <c r="BJ8" s="464"/>
      <c r="BK8" s="464"/>
      <c r="BL8" s="464"/>
      <c r="BM8" s="464"/>
      <c r="BN8" s="494"/>
      <c r="BO8" s="495">
        <v>28</v>
      </c>
      <c r="BP8" s="496">
        <v>265</v>
      </c>
      <c r="BQ8" s="945" t="s">
        <v>458</v>
      </c>
      <c r="BR8" s="945" t="s">
        <v>454</v>
      </c>
      <c r="BS8" s="945" t="s">
        <v>456</v>
      </c>
      <c r="BT8" s="464"/>
      <c r="BU8" s="464"/>
    </row>
    <row r="9" spans="1:73" ht="16.5" customHeight="1" x14ac:dyDescent="0.65">
      <c r="C9" s="377" t="s">
        <v>269</v>
      </c>
      <c r="D9" s="378" t="s">
        <v>270</v>
      </c>
      <c r="E9" s="379" t="s">
        <v>271</v>
      </c>
      <c r="F9" s="378" t="s">
        <v>272</v>
      </c>
      <c r="G9" s="380" t="s">
        <v>269</v>
      </c>
      <c r="H9" s="380" t="s">
        <v>270</v>
      </c>
      <c r="I9" s="380" t="s">
        <v>271</v>
      </c>
      <c r="J9" s="380" t="s">
        <v>272</v>
      </c>
      <c r="K9" s="381"/>
      <c r="L9" s="377" t="s">
        <v>269</v>
      </c>
      <c r="M9" s="378" t="s">
        <v>270</v>
      </c>
      <c r="N9" s="379" t="s">
        <v>271</v>
      </c>
      <c r="O9" s="378" t="s">
        <v>272</v>
      </c>
      <c r="P9" s="380" t="s">
        <v>269</v>
      </c>
      <c r="Q9" s="380" t="s">
        <v>270</v>
      </c>
      <c r="R9" s="380" t="s">
        <v>271</v>
      </c>
      <c r="S9" s="380" t="s">
        <v>272</v>
      </c>
      <c r="U9" s="50">
        <v>2018</v>
      </c>
      <c r="V9" s="112">
        <f t="shared" si="0"/>
        <v>394445</v>
      </c>
      <c r="W9" s="112">
        <f t="shared" si="0"/>
        <v>61220</v>
      </c>
      <c r="X9" s="112">
        <f t="shared" si="0"/>
        <v>753.5</v>
      </c>
      <c r="Y9" s="112">
        <f t="shared" si="0"/>
        <v>125073</v>
      </c>
      <c r="AA9" s="50">
        <v>2018</v>
      </c>
      <c r="AB9" s="112">
        <f t="shared" si="1"/>
        <v>21830</v>
      </c>
      <c r="AC9" s="112">
        <f t="shared" si="1"/>
        <v>305.39999999999998</v>
      </c>
      <c r="AD9" s="112">
        <f t="shared" si="1"/>
        <v>48584</v>
      </c>
      <c r="AE9" s="112">
        <f t="shared" si="1"/>
        <v>144444</v>
      </c>
      <c r="AP9" s="255" t="str">
        <f>G9</f>
        <v>Farþegar</v>
      </c>
      <c r="AQ9" s="255" t="str">
        <f>H9</f>
        <v>Hreyfingar</v>
      </c>
      <c r="AY9" s="377" t="s">
        <v>270</v>
      </c>
      <c r="AZ9" s="474" t="s">
        <v>6</v>
      </c>
      <c r="BA9" s="379" t="s">
        <v>65</v>
      </c>
      <c r="BB9" s="380" t="s">
        <v>270</v>
      </c>
      <c r="BC9" s="380" t="s">
        <v>65</v>
      </c>
      <c r="BD9" s="381"/>
      <c r="BE9" s="377" t="s">
        <v>270</v>
      </c>
      <c r="BF9" s="474" t="s">
        <v>28</v>
      </c>
      <c r="BG9" s="379" t="s">
        <v>65</v>
      </c>
      <c r="BH9" s="380" t="s">
        <v>270</v>
      </c>
      <c r="BI9" s="380" t="s">
        <v>65</v>
      </c>
      <c r="BJ9" s="464"/>
      <c r="BK9" s="464"/>
      <c r="BL9" s="464"/>
      <c r="BM9" s="464"/>
      <c r="BN9" s="494" t="s">
        <v>457</v>
      </c>
      <c r="BO9" s="495" t="s">
        <v>450</v>
      </c>
      <c r="BP9" s="496" t="s">
        <v>451</v>
      </c>
      <c r="BQ9" s="946"/>
      <c r="BR9" s="946"/>
      <c r="BS9" s="946"/>
      <c r="BT9" s="464"/>
      <c r="BU9" s="464"/>
    </row>
    <row r="10" spans="1:73" ht="15" thickBot="1" x14ac:dyDescent="0.8">
      <c r="A10" s="382"/>
      <c r="B10" s="383"/>
      <c r="C10" s="927"/>
      <c r="D10" s="928"/>
      <c r="E10" s="928"/>
      <c r="F10" s="947"/>
      <c r="G10" s="384" t="s">
        <v>273</v>
      </c>
      <c r="H10" s="385" t="s">
        <v>273</v>
      </c>
      <c r="I10" s="386"/>
      <c r="J10" s="386"/>
      <c r="K10" s="387"/>
      <c r="L10" s="927"/>
      <c r="M10" s="928"/>
      <c r="N10" s="928"/>
      <c r="O10" s="947"/>
      <c r="P10" s="384" t="s">
        <v>273</v>
      </c>
      <c r="Q10" s="385" t="s">
        <v>273</v>
      </c>
      <c r="R10" s="386"/>
      <c r="S10" s="386"/>
      <c r="U10" s="50">
        <v>2019</v>
      </c>
      <c r="V10" s="112">
        <f t="shared" si="0"/>
        <v>356428</v>
      </c>
      <c r="W10" s="112">
        <f t="shared" si="0"/>
        <v>62658</v>
      </c>
      <c r="X10" s="112">
        <f t="shared" si="0"/>
        <v>653.59999999999991</v>
      </c>
      <c r="Y10" s="112">
        <f t="shared" si="0"/>
        <v>124154</v>
      </c>
      <c r="AA10" s="50">
        <v>2019</v>
      </c>
      <c r="AB10" s="112">
        <f t="shared" si="1"/>
        <v>26979</v>
      </c>
      <c r="AC10" s="112">
        <f t="shared" si="1"/>
        <v>268</v>
      </c>
      <c r="AD10" s="112">
        <f t="shared" si="1"/>
        <v>44749</v>
      </c>
      <c r="AE10" s="112">
        <f t="shared" si="1"/>
        <v>138592</v>
      </c>
      <c r="AL10" s="50">
        <v>2016</v>
      </c>
      <c r="AO10" s="50">
        <v>2016</v>
      </c>
      <c r="AW10" s="382"/>
      <c r="AX10" s="383"/>
      <c r="AY10" s="470"/>
      <c r="AZ10" s="498" t="s">
        <v>459</v>
      </c>
      <c r="BA10" s="465" t="s">
        <v>460</v>
      </c>
      <c r="BB10" s="384" t="s">
        <v>273</v>
      </c>
      <c r="BC10" s="471" t="s">
        <v>460</v>
      </c>
      <c r="BD10" s="387"/>
      <c r="BE10" s="927"/>
      <c r="BF10" s="928"/>
      <c r="BG10" s="928"/>
      <c r="BH10" s="384" t="s">
        <v>273</v>
      </c>
      <c r="BI10" s="386"/>
      <c r="BJ10" s="464"/>
      <c r="BK10" s="464"/>
      <c r="BL10" s="464"/>
      <c r="BM10" s="464"/>
      <c r="BN10" s="493" t="s">
        <v>452</v>
      </c>
      <c r="BO10" s="497" t="s">
        <v>453</v>
      </c>
      <c r="BP10" s="497" t="s">
        <v>453</v>
      </c>
      <c r="BQ10" s="497" t="s">
        <v>453</v>
      </c>
      <c r="BR10" s="497" t="s">
        <v>455</v>
      </c>
      <c r="BS10" s="497" t="s">
        <v>629</v>
      </c>
      <c r="BT10" s="464"/>
      <c r="BU10" s="464"/>
    </row>
    <row r="11" spans="1:73" ht="14.25" customHeight="1" x14ac:dyDescent="0.65">
      <c r="A11" s="897">
        <v>2016</v>
      </c>
      <c r="B11" s="388" t="s">
        <v>191</v>
      </c>
      <c r="C11" s="389">
        <v>26732</v>
      </c>
      <c r="D11" s="390">
        <v>5361</v>
      </c>
      <c r="E11" s="391">
        <v>63</v>
      </c>
      <c r="F11" s="390">
        <v>8113</v>
      </c>
      <c r="G11" s="392">
        <f>C11</f>
        <v>26732</v>
      </c>
      <c r="H11" s="392">
        <f>D11</f>
        <v>5361</v>
      </c>
      <c r="I11" s="392">
        <f>E11</f>
        <v>63</v>
      </c>
      <c r="J11" s="392">
        <f>F11</f>
        <v>8113</v>
      </c>
      <c r="K11" s="393"/>
      <c r="L11" s="394"/>
      <c r="M11" s="394"/>
      <c r="N11" s="394"/>
      <c r="O11" s="395"/>
      <c r="P11" s="395"/>
      <c r="Q11" s="395"/>
      <c r="R11" s="395"/>
      <c r="S11" s="395"/>
      <c r="U11" s="50">
        <v>2020</v>
      </c>
      <c r="V11" s="112">
        <f t="shared" si="0"/>
        <v>164214</v>
      </c>
      <c r="W11" s="112">
        <f t="shared" si="0"/>
        <v>40561</v>
      </c>
      <c r="X11" s="112">
        <f t="shared" si="0"/>
        <v>480.5</v>
      </c>
      <c r="Y11" s="112">
        <f t="shared" si="0"/>
        <v>55916</v>
      </c>
      <c r="AA11" s="50">
        <v>2020</v>
      </c>
      <c r="AB11" s="112">
        <f t="shared" si="1"/>
        <v>15275</v>
      </c>
      <c r="AC11" s="112">
        <f t="shared" si="1"/>
        <v>197</v>
      </c>
      <c r="AD11" s="112">
        <f t="shared" si="1"/>
        <v>28929</v>
      </c>
      <c r="AE11" s="112">
        <f t="shared" si="1"/>
        <v>66619</v>
      </c>
      <c r="AL11" s="50">
        <f t="shared" ref="AL11:AL42" si="2">AL10+$AL$2</f>
        <v>2016.0769230769231</v>
      </c>
      <c r="AO11" s="50">
        <f>AO10+$AO$2</f>
        <v>2016.0833333333333</v>
      </c>
      <c r="AW11" s="897">
        <v>2016</v>
      </c>
      <c r="AX11" s="483" t="s">
        <v>438</v>
      </c>
      <c r="AY11" s="389">
        <v>18041</v>
      </c>
      <c r="AZ11" s="390">
        <f>INDEX($BK$16:$BL$19,MATCH($AX11,$BK$16:$BK$19,0),2)</f>
        <v>130</v>
      </c>
      <c r="BA11" s="391">
        <f>AY11/2*AZ11*$BS$13/10^3</f>
        <v>3670.8071048985767</v>
      </c>
      <c r="BB11" s="392">
        <f>AY11</f>
        <v>18041</v>
      </c>
      <c r="BC11" s="392">
        <f>BA11</f>
        <v>3670.8071048985767</v>
      </c>
      <c r="BD11" s="393"/>
      <c r="BE11" s="394"/>
      <c r="BF11" s="394"/>
      <c r="BG11" s="394"/>
      <c r="BH11" s="395"/>
      <c r="BI11" s="395"/>
      <c r="BJ11" s="464"/>
      <c r="BK11" s="487" t="s">
        <v>448</v>
      </c>
      <c r="BL11" s="488"/>
      <c r="BM11" s="488"/>
      <c r="BN11" s="489" t="s">
        <v>419</v>
      </c>
      <c r="BO11" s="489" t="s">
        <v>419</v>
      </c>
      <c r="BP11" s="489" t="s">
        <v>419</v>
      </c>
      <c r="BQ11" s="489" t="s">
        <v>419</v>
      </c>
      <c r="BR11" s="489" t="s">
        <v>419</v>
      </c>
      <c r="BS11" s="489" t="s">
        <v>419</v>
      </c>
      <c r="BT11" s="464"/>
      <c r="BU11" s="464"/>
    </row>
    <row r="12" spans="1:73" ht="14.25" x14ac:dyDescent="0.65">
      <c r="A12" s="883"/>
      <c r="B12" s="396" t="s">
        <v>195</v>
      </c>
      <c r="C12" s="397">
        <v>29502</v>
      </c>
      <c r="D12" s="398">
        <v>6654</v>
      </c>
      <c r="E12" s="399">
        <v>86</v>
      </c>
      <c r="F12" s="398">
        <v>7876</v>
      </c>
      <c r="G12" s="400">
        <f>SUM(C11:C12)</f>
        <v>56234</v>
      </c>
      <c r="H12" s="400">
        <f>SUM(D11:D12)</f>
        <v>12015</v>
      </c>
      <c r="I12" s="400">
        <f>SUM(E11:E12)</f>
        <v>149</v>
      </c>
      <c r="J12" s="400">
        <f>SUM(F11:F12)</f>
        <v>15989</v>
      </c>
      <c r="K12" s="393"/>
      <c r="L12" s="394"/>
      <c r="M12" s="394"/>
      <c r="N12" s="394"/>
      <c r="O12" s="401"/>
      <c r="P12" s="401"/>
      <c r="Q12" s="401"/>
      <c r="R12" s="401"/>
      <c r="S12" s="401"/>
      <c r="U12" s="50">
        <v>2021</v>
      </c>
      <c r="V12" s="112">
        <f t="shared" si="0"/>
        <v>92358</v>
      </c>
      <c r="W12" s="112">
        <f t="shared" si="0"/>
        <v>22090</v>
      </c>
      <c r="X12" s="112">
        <f t="shared" si="0"/>
        <v>192.7</v>
      </c>
      <c r="Y12" s="112">
        <f t="shared" si="0"/>
        <v>21016</v>
      </c>
      <c r="AA12" s="50">
        <v>2021</v>
      </c>
      <c r="AB12" s="112">
        <f t="shared" si="1"/>
        <v>22090</v>
      </c>
      <c r="AC12" s="112">
        <f t="shared" si="1"/>
        <v>192.7</v>
      </c>
      <c r="AD12" s="112">
        <f t="shared" si="1"/>
        <v>21016</v>
      </c>
      <c r="AE12" s="112">
        <f t="shared" si="1"/>
        <v>92358</v>
      </c>
      <c r="AL12" s="50">
        <f t="shared" si="2"/>
        <v>2016.1538461538462</v>
      </c>
      <c r="AO12" s="50">
        <f t="shared" ref="AO12:AO73" si="3">AO11+$AO$2</f>
        <v>2016.1666666666665</v>
      </c>
      <c r="AW12" s="883"/>
      <c r="AX12" s="484" t="s">
        <v>439</v>
      </c>
      <c r="AY12" s="397">
        <v>5617</v>
      </c>
      <c r="AZ12" s="398">
        <f>INDEX($BK$16:$BL$19,MATCH($AX12,$BK$16:$BK$19,0),2)</f>
        <v>110</v>
      </c>
      <c r="BA12" s="399">
        <f>AY12/2*AZ12*$BS$13/10^3</f>
        <v>967.06288066228785</v>
      </c>
      <c r="BB12" s="400">
        <f>SUM(AY11:AY12)</f>
        <v>23658</v>
      </c>
      <c r="BC12" s="400">
        <f>SUM(BA11:BA12)</f>
        <v>4637.8699855608647</v>
      </c>
      <c r="BD12" s="393"/>
      <c r="BE12" s="394"/>
      <c r="BF12" s="394"/>
      <c r="BG12" s="394"/>
      <c r="BH12" s="401"/>
      <c r="BI12" s="401"/>
      <c r="BJ12" s="464"/>
      <c r="BK12" s="491" t="s">
        <v>444</v>
      </c>
      <c r="BL12" s="490">
        <v>3.13</v>
      </c>
      <c r="BM12" s="488"/>
      <c r="BN12" s="488">
        <v>70.03197445184658</v>
      </c>
      <c r="BO12" s="488">
        <v>0.49996766056529002</v>
      </c>
      <c r="BP12" s="488">
        <v>1.9999353211305899</v>
      </c>
      <c r="BQ12" s="488">
        <f>BN12*1000+BO12*$BO$8+BP12*$BP$8</f>
        <v>70575.956406442012</v>
      </c>
      <c r="BR12" s="488">
        <v>44.36</v>
      </c>
      <c r="BS12" s="804">
        <f>BQ12*BR12*10^-6</f>
        <v>3.1307494261897677</v>
      </c>
      <c r="BT12" s="464"/>
      <c r="BU12" s="464"/>
    </row>
    <row r="13" spans="1:73" ht="14.25" x14ac:dyDescent="0.65">
      <c r="A13" s="883"/>
      <c r="B13" s="396" t="s">
        <v>15</v>
      </c>
      <c r="C13" s="397">
        <v>32035</v>
      </c>
      <c r="D13" s="398">
        <v>4058</v>
      </c>
      <c r="E13" s="399">
        <v>98</v>
      </c>
      <c r="F13" s="398">
        <v>8085</v>
      </c>
      <c r="G13" s="400">
        <f>SUM(C11:C13)</f>
        <v>88269</v>
      </c>
      <c r="H13" s="400">
        <f>SUM(D11:D13)</f>
        <v>16073</v>
      </c>
      <c r="I13" s="400">
        <f>SUM(E11:E13)</f>
        <v>247</v>
      </c>
      <c r="J13" s="400">
        <f>SUM(F11:F13)</f>
        <v>24074</v>
      </c>
      <c r="K13" s="402"/>
      <c r="L13" s="394"/>
      <c r="M13" s="394"/>
      <c r="N13" s="394"/>
      <c r="O13" s="394"/>
      <c r="P13" s="394"/>
      <c r="Q13" s="394"/>
      <c r="R13" s="394"/>
      <c r="S13" s="394"/>
      <c r="AL13" s="50">
        <f t="shared" si="2"/>
        <v>2016.2307692307693</v>
      </c>
      <c r="AO13" s="50">
        <f t="shared" si="3"/>
        <v>2016.2499999999998</v>
      </c>
      <c r="AW13" s="883"/>
      <c r="AX13" s="484" t="s">
        <v>440</v>
      </c>
      <c r="AY13" s="397">
        <v>37038</v>
      </c>
      <c r="AZ13" s="458">
        <f>INDEX($BK$16:$BL$19,MATCH($AX13,$BK$16:$BK$19,0),2)</f>
        <v>3.5</v>
      </c>
      <c r="BA13" s="399">
        <f>AY13/2*AZ13*$BS$13/10^3</f>
        <v>202.89585577693424</v>
      </c>
      <c r="BB13" s="400">
        <f>SUM(AY11:AY13)</f>
        <v>60696</v>
      </c>
      <c r="BC13" s="400">
        <f>SUM(BA11:BA13)</f>
        <v>4840.7658413377994</v>
      </c>
      <c r="BD13" s="402"/>
      <c r="BE13" s="394"/>
      <c r="BF13" s="394"/>
      <c r="BG13" s="394"/>
      <c r="BH13" s="394"/>
      <c r="BI13" s="394"/>
      <c r="BJ13" s="464"/>
      <c r="BK13" s="492" t="s">
        <v>445</v>
      </c>
      <c r="BL13" s="490"/>
      <c r="BM13" s="488"/>
      <c r="BN13" s="488">
        <v>71.5</v>
      </c>
      <c r="BO13" s="488">
        <v>0.50000106487426998</v>
      </c>
      <c r="BP13" s="488">
        <v>2.0000012169991699</v>
      </c>
      <c r="BQ13" s="488">
        <f>BN13*1000+BO13*$BO$8+BP13*$BP$8</f>
        <v>72044.000352321265</v>
      </c>
      <c r="BR13" s="488">
        <v>43.45</v>
      </c>
      <c r="BS13" s="804">
        <f>BQ13*BR13*10^-6</f>
        <v>3.1303118153083589</v>
      </c>
      <c r="BT13" s="464"/>
      <c r="BU13" s="464"/>
    </row>
    <row r="14" spans="1:73" ht="14.25" x14ac:dyDescent="0.65">
      <c r="A14" s="883"/>
      <c r="B14" s="396" t="s">
        <v>16</v>
      </c>
      <c r="C14" s="397">
        <v>32146</v>
      </c>
      <c r="D14" s="398">
        <v>6141</v>
      </c>
      <c r="E14" s="399">
        <v>92</v>
      </c>
      <c r="F14" s="398">
        <v>8273</v>
      </c>
      <c r="G14" s="400">
        <f>SUM(C11:C14)</f>
        <v>120415</v>
      </c>
      <c r="H14" s="400">
        <f>SUM(D11:D14)</f>
        <v>22214</v>
      </c>
      <c r="I14" s="400">
        <f>SUM(E11:E14)</f>
        <v>339</v>
      </c>
      <c r="J14" s="400">
        <f>SUM(F11:F14)</f>
        <v>32347</v>
      </c>
      <c r="K14" s="402"/>
      <c r="L14" s="394"/>
      <c r="M14" s="394"/>
      <c r="N14" s="394"/>
      <c r="O14" s="394"/>
      <c r="P14" s="394"/>
      <c r="Q14" s="394"/>
      <c r="R14" s="394"/>
      <c r="S14" s="394"/>
      <c r="V14" s="255" t="str">
        <f>G9</f>
        <v>Farþegar</v>
      </c>
      <c r="W14" s="255" t="str">
        <f>H9</f>
        <v>Hreyfingar</v>
      </c>
      <c r="X14" s="255" t="str">
        <f>I9</f>
        <v>Cargo</v>
      </c>
      <c r="Y14" s="255" t="str">
        <f>J9</f>
        <v>Yfirflug</v>
      </c>
      <c r="AB14" s="255" t="str">
        <f>M9</f>
        <v>Hreyfingar</v>
      </c>
      <c r="AC14" s="255" t="str">
        <f>N9</f>
        <v>Cargo</v>
      </c>
      <c r="AD14" s="255" t="str">
        <f>O9</f>
        <v>Yfirflug</v>
      </c>
      <c r="AE14" s="255" t="str">
        <f>P9</f>
        <v>Farþegar</v>
      </c>
      <c r="AL14" s="50">
        <f t="shared" si="2"/>
        <v>2016.3076923076924</v>
      </c>
      <c r="AO14" s="50">
        <f t="shared" si="3"/>
        <v>2016.333333333333</v>
      </c>
      <c r="AW14" s="883"/>
      <c r="AX14" s="484" t="s">
        <v>441</v>
      </c>
      <c r="AY14" s="397">
        <f>SUM(AY11:AY13)</f>
        <v>60696</v>
      </c>
      <c r="AZ14" s="398"/>
      <c r="BA14" s="399">
        <f>SUM(BA11:BA13)</f>
        <v>4840.7658413377994</v>
      </c>
      <c r="BB14" s="400">
        <f>SUM(AY11:AY13)</f>
        <v>60696</v>
      </c>
      <c r="BC14" s="400">
        <f>SUM(BA11:BA13)</f>
        <v>4840.7658413377994</v>
      </c>
      <c r="BD14" s="402"/>
      <c r="BE14" s="394"/>
      <c r="BF14" s="394"/>
      <c r="BG14" s="394"/>
      <c r="BH14" s="394"/>
      <c r="BI14" s="394"/>
      <c r="BJ14" s="464"/>
      <c r="BK14" s="492" t="s">
        <v>446</v>
      </c>
      <c r="BL14" s="490"/>
      <c r="BM14" s="488" t="s">
        <v>419</v>
      </c>
      <c r="BN14" s="488" t="s">
        <v>447</v>
      </c>
      <c r="BO14" s="488" t="s">
        <v>447</v>
      </c>
      <c r="BP14" s="488" t="s">
        <v>447</v>
      </c>
      <c r="BQ14" s="488"/>
      <c r="BR14" s="488"/>
      <c r="BS14" s="488"/>
      <c r="BT14" s="464"/>
      <c r="BU14" s="464"/>
    </row>
    <row r="15" spans="1:73" ht="14.25" x14ac:dyDescent="0.65">
      <c r="A15" s="883"/>
      <c r="B15" s="396" t="s">
        <v>17</v>
      </c>
      <c r="C15" s="397">
        <v>33659</v>
      </c>
      <c r="D15" s="398">
        <v>5873</v>
      </c>
      <c r="E15" s="399">
        <v>93</v>
      </c>
      <c r="F15" s="398">
        <v>9218</v>
      </c>
      <c r="G15" s="400">
        <f>SUM(C11:C15)</f>
        <v>154074</v>
      </c>
      <c r="H15" s="400">
        <f>SUM(D11:D15)</f>
        <v>28087</v>
      </c>
      <c r="I15" s="400">
        <f>SUM(E11:E15)</f>
        <v>432</v>
      </c>
      <c r="J15" s="400">
        <f>SUM(F11:F15)</f>
        <v>41565</v>
      </c>
      <c r="K15" s="402"/>
      <c r="L15" s="394"/>
      <c r="M15" s="394"/>
      <c r="N15" s="394"/>
      <c r="O15" s="394"/>
      <c r="P15" s="394"/>
      <c r="Q15" s="394"/>
      <c r="R15" s="394"/>
      <c r="S15" s="394"/>
      <c r="V15" s="112"/>
      <c r="W15" s="112"/>
      <c r="X15" s="112"/>
      <c r="Y15" s="112"/>
      <c r="AB15" s="112"/>
      <c r="AC15" s="112"/>
      <c r="AD15" s="112"/>
      <c r="AE15" s="112"/>
      <c r="AL15" s="50">
        <f t="shared" si="2"/>
        <v>2016.3846153846155</v>
      </c>
      <c r="AO15" s="50">
        <f t="shared" si="3"/>
        <v>2016.4166666666663</v>
      </c>
      <c r="AW15" s="883"/>
      <c r="AX15" s="484" t="s">
        <v>438</v>
      </c>
      <c r="AY15" s="397">
        <v>1190</v>
      </c>
      <c r="AZ15" s="398">
        <f>INDEX($BK$16:$BL$19,MATCH($AX15,$BK$16:$BK$19,0),2)</f>
        <v>130</v>
      </c>
      <c r="BA15" s="399">
        <f>AY15/2*AZ15*$BS$13/10^3</f>
        <v>242.12961891410157</v>
      </c>
      <c r="BB15" s="400">
        <f>SUM(AY15)</f>
        <v>1190</v>
      </c>
      <c r="BC15" s="400">
        <f>SUM(BA15)</f>
        <v>242.12961891410157</v>
      </c>
      <c r="BD15" s="402"/>
      <c r="BE15" s="394"/>
      <c r="BF15" s="394"/>
      <c r="BG15" s="394"/>
      <c r="BH15" s="394"/>
      <c r="BI15" s="394"/>
      <c r="BJ15" s="464"/>
      <c r="BK15" s="464"/>
      <c r="BL15" s="464"/>
      <c r="BM15" s="464"/>
      <c r="BN15" s="464"/>
      <c r="BO15" s="464"/>
      <c r="BP15" s="464"/>
      <c r="BQ15" s="464"/>
      <c r="BR15" s="464"/>
      <c r="BS15" s="464"/>
      <c r="BT15" s="464"/>
      <c r="BU15" s="464"/>
    </row>
    <row r="16" spans="1:73" ht="14.25" x14ac:dyDescent="0.65">
      <c r="A16" s="883"/>
      <c r="B16" s="396" t="s">
        <v>18</v>
      </c>
      <c r="C16" s="397">
        <v>39204</v>
      </c>
      <c r="D16" s="398">
        <v>6108</v>
      </c>
      <c r="E16" s="399">
        <v>97</v>
      </c>
      <c r="F16" s="398">
        <v>9912</v>
      </c>
      <c r="G16" s="400">
        <f>SUM(C11:C16)</f>
        <v>193278</v>
      </c>
      <c r="H16" s="400">
        <f>SUM(D11:D16)</f>
        <v>34195</v>
      </c>
      <c r="I16" s="400">
        <f>SUM(E11:E16)</f>
        <v>529</v>
      </c>
      <c r="J16" s="400">
        <f>SUM(F11:F16)</f>
        <v>51477</v>
      </c>
      <c r="K16" s="402"/>
      <c r="L16" s="394"/>
      <c r="M16" s="394"/>
      <c r="N16" s="394"/>
      <c r="O16" s="394"/>
      <c r="P16" s="394"/>
      <c r="Q16" s="394"/>
      <c r="R16" s="394"/>
      <c r="S16" s="394"/>
      <c r="U16" s="50">
        <v>2017</v>
      </c>
      <c r="V16" s="164">
        <f t="shared" ref="V16:Y20" si="4">INDEX($L$24:$O$88,MATCH($U16,$B$24:$B$88,0),MATCH(V$14,$L$9:$O$9,0))</f>
        <v>1.9664085845260946E-2</v>
      </c>
      <c r="W16" s="164">
        <f t="shared" si="4"/>
        <v>1.4498211259649783E-2</v>
      </c>
      <c r="X16" s="164">
        <f t="shared" si="4"/>
        <v>-0.26390197926484449</v>
      </c>
      <c r="Y16" s="164">
        <f t="shared" si="4"/>
        <v>7.4033633751890662E-2</v>
      </c>
      <c r="AA16" s="50">
        <v>2017</v>
      </c>
      <c r="AB16" s="164">
        <f t="shared" ref="AB16:AE20" si="5">INDEX($P$24:$S$88,MATCH($U16,$B$24:$B$88,0),MATCH(AB$14,$P$9:$S$9,0))</f>
        <v>-0.13896108519955852</v>
      </c>
      <c r="AC16" s="164">
        <f t="shared" si="5"/>
        <v>-0.28472222222222221</v>
      </c>
      <c r="AD16" s="164">
        <f t="shared" si="5"/>
        <v>3.7796222783591966E-2</v>
      </c>
      <c r="AE16" s="164">
        <f t="shared" si="5"/>
        <v>1.2610823370588159E-2</v>
      </c>
      <c r="AL16" s="50">
        <f t="shared" si="2"/>
        <v>2016.4615384615386</v>
      </c>
      <c r="AO16" s="50">
        <f t="shared" si="3"/>
        <v>2016.4999999999995</v>
      </c>
      <c r="AW16" s="883"/>
      <c r="AX16" s="484" t="s">
        <v>439</v>
      </c>
      <c r="AY16" s="397">
        <v>1846</v>
      </c>
      <c r="AZ16" s="398">
        <f>INDEX($BK$16:$BL$19,MATCH($AX16,$BK$16:$BK$19,0),2)</f>
        <v>110</v>
      </c>
      <c r="BA16" s="399">
        <f>AY16/2*AZ16*$BS$13/10^3</f>
        <v>317.82055860825767</v>
      </c>
      <c r="BB16" s="400">
        <f>SUM(AY15:AY16)</f>
        <v>3036</v>
      </c>
      <c r="BC16" s="400">
        <f>SUM(BA15:BA16)</f>
        <v>559.95017752235924</v>
      </c>
      <c r="BD16" s="402"/>
      <c r="BE16" s="394"/>
      <c r="BF16" s="394"/>
      <c r="BG16" s="394"/>
      <c r="BH16" s="394"/>
      <c r="BI16" s="394"/>
      <c r="BJ16" s="464"/>
      <c r="BK16" s="492"/>
      <c r="BL16" s="492" t="s">
        <v>462</v>
      </c>
      <c r="BM16" s="464"/>
      <c r="BN16" s="464"/>
      <c r="BO16" s="464"/>
      <c r="BP16" s="464"/>
      <c r="BQ16" s="464"/>
      <c r="BR16" s="464"/>
      <c r="BS16" s="464"/>
      <c r="BT16" s="464"/>
      <c r="BU16" s="464"/>
    </row>
    <row r="17" spans="1:73" ht="14.25" x14ac:dyDescent="0.65">
      <c r="A17" s="883"/>
      <c r="B17" s="396" t="s">
        <v>19</v>
      </c>
      <c r="C17" s="397">
        <v>47875</v>
      </c>
      <c r="D17" s="398">
        <v>6881</v>
      </c>
      <c r="E17" s="399">
        <v>94</v>
      </c>
      <c r="F17" s="398">
        <v>11589</v>
      </c>
      <c r="G17" s="400">
        <f>SUM(C11:C17)</f>
        <v>241153</v>
      </c>
      <c r="H17" s="400">
        <f>SUM(D11:D17)</f>
        <v>41076</v>
      </c>
      <c r="I17" s="400">
        <f>SUM(E11:E17)</f>
        <v>623</v>
      </c>
      <c r="J17" s="400">
        <f>SUM(F11:F17)</f>
        <v>63066</v>
      </c>
      <c r="K17" s="402"/>
      <c r="L17" s="394"/>
      <c r="M17" s="394"/>
      <c r="N17" s="394"/>
      <c r="O17" s="394"/>
      <c r="P17" s="394"/>
      <c r="Q17" s="394"/>
      <c r="R17" s="394"/>
      <c r="S17" s="394"/>
      <c r="U17" s="50">
        <v>2018</v>
      </c>
      <c r="V17" s="164">
        <f t="shared" si="4"/>
        <v>-7.3017402441747065E-2</v>
      </c>
      <c r="W17" s="164">
        <f t="shared" si="4"/>
        <v>-5.314278643900025E-2</v>
      </c>
      <c r="X17" s="164">
        <f t="shared" si="4"/>
        <v>-3.5211267605633804E-2</v>
      </c>
      <c r="Y17" s="164">
        <f t="shared" si="4"/>
        <v>4.2231573684429813E-2</v>
      </c>
      <c r="AA17" s="50">
        <v>2018</v>
      </c>
      <c r="AB17" s="164">
        <f t="shared" si="5"/>
        <v>-9.7337082368508104E-2</v>
      </c>
      <c r="AC17" s="164">
        <f t="shared" si="5"/>
        <v>-1.1650485436893277E-2</v>
      </c>
      <c r="AD17" s="164">
        <f t="shared" si="5"/>
        <v>0.12629821958456974</v>
      </c>
      <c r="AE17" s="164">
        <f t="shared" si="5"/>
        <v>-7.4177813956171443E-2</v>
      </c>
      <c r="AL17" s="50">
        <f t="shared" si="2"/>
        <v>2016.5384615384617</v>
      </c>
      <c r="AO17" s="50">
        <f t="shared" si="3"/>
        <v>2016.5833333333328</v>
      </c>
      <c r="AW17" s="883"/>
      <c r="AX17" s="484" t="s">
        <v>442</v>
      </c>
      <c r="AY17" s="397">
        <f>AY16+AY15</f>
        <v>3036</v>
      </c>
      <c r="AZ17" s="398"/>
      <c r="BA17" s="399">
        <f>SUM(BA15:BA16)</f>
        <v>559.95017752235924</v>
      </c>
      <c r="BB17" s="400">
        <f>SUM(AY17)</f>
        <v>3036</v>
      </c>
      <c r="BC17" s="400">
        <f>SUM(BA17)</f>
        <v>559.95017752235924</v>
      </c>
      <c r="BD17" s="402"/>
      <c r="BE17" s="394"/>
      <c r="BF17" s="394"/>
      <c r="BG17" s="394"/>
      <c r="BH17" s="394"/>
      <c r="BI17" s="394"/>
      <c r="BJ17" s="464"/>
      <c r="BK17" s="492" t="s">
        <v>438</v>
      </c>
      <c r="BL17" s="492">
        <v>130</v>
      </c>
      <c r="BM17" s="464"/>
      <c r="BN17" s="464"/>
      <c r="BO17" s="464"/>
      <c r="BP17" s="464"/>
      <c r="BQ17" s="464"/>
      <c r="BR17" s="464"/>
      <c r="BS17" s="464"/>
      <c r="BT17" s="464"/>
      <c r="BU17" s="464"/>
    </row>
    <row r="18" spans="1:73" ht="14.25" x14ac:dyDescent="0.65">
      <c r="A18" s="883"/>
      <c r="B18" s="396" t="s">
        <v>20</v>
      </c>
      <c r="C18" s="397">
        <v>46951</v>
      </c>
      <c r="D18" s="398">
        <v>7335</v>
      </c>
      <c r="E18" s="399">
        <v>112</v>
      </c>
      <c r="F18" s="398">
        <v>10982</v>
      </c>
      <c r="G18" s="400">
        <f>SUM(C11:C18)</f>
        <v>288104</v>
      </c>
      <c r="H18" s="400">
        <f>SUM(D11:D18)</f>
        <v>48411</v>
      </c>
      <c r="I18" s="400">
        <f>SUM(E11:E18)</f>
        <v>735</v>
      </c>
      <c r="J18" s="400">
        <f>SUM(F11:F18)</f>
        <v>74048</v>
      </c>
      <c r="K18" s="402"/>
      <c r="L18" s="394"/>
      <c r="M18" s="394"/>
      <c r="N18" s="394"/>
      <c r="O18" s="394"/>
      <c r="P18" s="394"/>
      <c r="Q18" s="394"/>
      <c r="R18" s="394"/>
      <c r="S18" s="394"/>
      <c r="U18" s="50">
        <v>2019</v>
      </c>
      <c r="V18" s="164">
        <f t="shared" si="4"/>
        <v>-9.638099101268871E-2</v>
      </c>
      <c r="W18" s="164">
        <f t="shared" si="4"/>
        <v>2.3489055864096699E-2</v>
      </c>
      <c r="X18" s="164">
        <f t="shared" si="4"/>
        <v>-0.13258128732581301</v>
      </c>
      <c r="Y18" s="164">
        <f t="shared" si="4"/>
        <v>-7.3477089379802192E-3</v>
      </c>
      <c r="AA18" s="50">
        <v>2019</v>
      </c>
      <c r="AB18" s="164">
        <f t="shared" si="5"/>
        <v>0.2358680714612918</v>
      </c>
      <c r="AC18" s="164">
        <f t="shared" si="5"/>
        <v>-0.12246234446627367</v>
      </c>
      <c r="AD18" s="164">
        <f t="shared" si="5"/>
        <v>-7.8935452000658657E-2</v>
      </c>
      <c r="AE18" s="164">
        <f t="shared" si="5"/>
        <v>-4.0513970812217887E-2</v>
      </c>
      <c r="AL18" s="50">
        <f t="shared" si="2"/>
        <v>2016.6153846153848</v>
      </c>
      <c r="AO18" s="50">
        <f t="shared" si="3"/>
        <v>2016.6666666666661</v>
      </c>
      <c r="AW18" s="883"/>
      <c r="AX18" s="485" t="s">
        <v>438</v>
      </c>
      <c r="AY18" s="486">
        <f>AY11+AY15</f>
        <v>19231</v>
      </c>
      <c r="AZ18" s="398">
        <f>INDEX($BK$16:$BL$19,MATCH($AX18,$BK$16:$BK$19,0),2)</f>
        <v>130</v>
      </c>
      <c r="BA18" s="399">
        <f>AY18/2*AZ18*$BS$13/10^3</f>
        <v>3912.9367238126783</v>
      </c>
      <c r="BB18" s="400">
        <f>SUM(AY18)</f>
        <v>19231</v>
      </c>
      <c r="BC18" s="400">
        <f>SUM(BA18)</f>
        <v>3912.9367238126783</v>
      </c>
      <c r="BD18" s="402"/>
      <c r="BE18" s="394"/>
      <c r="BF18" s="394"/>
      <c r="BG18" s="394"/>
      <c r="BH18" s="394"/>
      <c r="BI18" s="394"/>
      <c r="BJ18" s="464"/>
      <c r="BK18" s="492" t="s">
        <v>439</v>
      </c>
      <c r="BL18" s="492">
        <v>110</v>
      </c>
      <c r="BM18" s="464"/>
      <c r="BN18" s="464"/>
      <c r="BO18" s="464"/>
      <c r="BP18" s="464"/>
      <c r="BQ18" s="464"/>
      <c r="BR18" s="464"/>
      <c r="BS18" s="464"/>
      <c r="BT18" s="464"/>
      <c r="BU18" s="464"/>
    </row>
    <row r="19" spans="1:73" ht="16.5" customHeight="1" x14ac:dyDescent="0.65">
      <c r="A19" s="883"/>
      <c r="B19" s="396" t="s">
        <v>211</v>
      </c>
      <c r="C19" s="397">
        <v>41298</v>
      </c>
      <c r="D19" s="398">
        <v>5519</v>
      </c>
      <c r="E19" s="399">
        <v>86</v>
      </c>
      <c r="F19" s="398">
        <v>11002</v>
      </c>
      <c r="G19" s="400">
        <f>SUM(C11:C19)</f>
        <v>329402</v>
      </c>
      <c r="H19" s="400">
        <f>SUM(D11:D19)</f>
        <v>53930</v>
      </c>
      <c r="I19" s="400">
        <f>SUM(E11:E19)</f>
        <v>821</v>
      </c>
      <c r="J19" s="400">
        <f>SUM(F11:F19)</f>
        <v>85050</v>
      </c>
      <c r="K19" s="374"/>
      <c r="L19" s="403"/>
      <c r="M19" s="403"/>
      <c r="N19" s="403"/>
      <c r="O19" s="403"/>
      <c r="P19" s="403"/>
      <c r="Q19" s="403"/>
      <c r="R19" s="403"/>
      <c r="S19" s="403"/>
      <c r="U19" s="50">
        <v>2020</v>
      </c>
      <c r="V19" s="164">
        <f t="shared" si="4"/>
        <v>-0.53927862008596406</v>
      </c>
      <c r="W19" s="164">
        <f t="shared" si="4"/>
        <v>-0.35266047432091674</v>
      </c>
      <c r="X19" s="164">
        <f t="shared" si="4"/>
        <v>-0.26484088127294969</v>
      </c>
      <c r="Y19" s="164">
        <f t="shared" si="4"/>
        <v>-0.54962385424553373</v>
      </c>
      <c r="AA19" s="50">
        <v>2020</v>
      </c>
      <c r="AB19" s="164">
        <f t="shared" si="5"/>
        <v>-0.43381889617850922</v>
      </c>
      <c r="AC19" s="164">
        <f t="shared" si="5"/>
        <v>-0.26492537313432835</v>
      </c>
      <c r="AD19" s="164">
        <f t="shared" si="5"/>
        <v>-0.35352745312744421</v>
      </c>
      <c r="AE19" s="164">
        <f t="shared" si="5"/>
        <v>-0.51931568921727089</v>
      </c>
      <c r="AL19" s="50">
        <f t="shared" si="2"/>
        <v>2016.6923076923078</v>
      </c>
      <c r="AO19" s="50">
        <f t="shared" si="3"/>
        <v>2016.7499999999993</v>
      </c>
      <c r="AW19" s="883"/>
      <c r="AX19" s="485" t="s">
        <v>439</v>
      </c>
      <c r="AY19" s="486">
        <f>AY12+AY16</f>
        <v>7463</v>
      </c>
      <c r="AZ19" s="398">
        <f>INDEX($BK$16:$BL$19,MATCH($AX19,$BK$16:$BK$19,0),2)</f>
        <v>110</v>
      </c>
      <c r="BA19" s="399">
        <f>AY19/2*AZ19*$BS$13/10^3</f>
        <v>1284.8834392705455</v>
      </c>
      <c r="BB19" s="400">
        <f>SUM(AY18:AY19)</f>
        <v>26694</v>
      </c>
      <c r="BC19" s="400">
        <f>SUM(BA18:BA19)</f>
        <v>5197.8201630832236</v>
      </c>
      <c r="BD19" s="402"/>
      <c r="BE19" s="394"/>
      <c r="BF19" s="394"/>
      <c r="BG19" s="394"/>
      <c r="BH19" s="394"/>
      <c r="BI19" s="394"/>
      <c r="BJ19" s="464"/>
      <c r="BK19" s="492" t="s">
        <v>440</v>
      </c>
      <c r="BL19" s="492">
        <v>3.5</v>
      </c>
      <c r="BM19" s="464"/>
      <c r="BN19" s="464"/>
      <c r="BO19" s="464"/>
      <c r="BP19" s="464"/>
      <c r="BQ19" s="464"/>
      <c r="BR19" s="464"/>
      <c r="BS19" s="464"/>
      <c r="BT19" s="464"/>
      <c r="BU19" s="464"/>
    </row>
    <row r="20" spans="1:73" ht="15" thickBot="1" x14ac:dyDescent="0.8">
      <c r="A20" s="883"/>
      <c r="B20" s="396" t="s">
        <v>213</v>
      </c>
      <c r="C20" s="397">
        <v>33758</v>
      </c>
      <c r="D20" s="398">
        <v>3899</v>
      </c>
      <c r="E20" s="399">
        <v>96</v>
      </c>
      <c r="F20" s="398">
        <v>9509</v>
      </c>
      <c r="G20" s="400">
        <f>SUM(C11:C20)</f>
        <v>363160</v>
      </c>
      <c r="H20" s="400">
        <f>SUM(D11:D20)</f>
        <v>57829</v>
      </c>
      <c r="I20" s="400">
        <f>SUM(E11:E20)</f>
        <v>917</v>
      </c>
      <c r="J20" s="400">
        <f>SUM(F11:F20)</f>
        <v>94559</v>
      </c>
      <c r="K20" s="374"/>
      <c r="L20" s="403"/>
      <c r="M20" s="403"/>
      <c r="N20" s="403"/>
      <c r="O20" s="403"/>
      <c r="P20" s="403"/>
      <c r="Q20" s="403"/>
      <c r="R20" s="403"/>
      <c r="S20" s="403"/>
      <c r="U20" s="50">
        <v>2021</v>
      </c>
      <c r="V20" s="164">
        <f t="shared" si="4"/>
        <v>-0.43757535898279076</v>
      </c>
      <c r="W20" s="164">
        <f t="shared" si="4"/>
        <v>-0.45538818076477405</v>
      </c>
      <c r="X20" s="164">
        <f t="shared" si="4"/>
        <v>-0.5989594172736733</v>
      </c>
      <c r="Y20" s="164">
        <f t="shared" si="4"/>
        <v>-0.62415051148150802</v>
      </c>
      <c r="AA20" s="50">
        <v>2021</v>
      </c>
      <c r="AB20" s="164">
        <f t="shared" si="5"/>
        <v>0.44615384615384618</v>
      </c>
      <c r="AC20" s="164">
        <f t="shared" si="5"/>
        <v>-2.1827411167512748E-2</v>
      </c>
      <c r="AD20" s="164">
        <f t="shared" si="5"/>
        <v>-0.27353175014691139</v>
      </c>
      <c r="AE20" s="164">
        <f t="shared" si="5"/>
        <v>0.38636124829252916</v>
      </c>
      <c r="AL20" s="50">
        <f t="shared" si="2"/>
        <v>2016.7692307692309</v>
      </c>
      <c r="AO20" s="50">
        <f t="shared" si="3"/>
        <v>2016.8333333333326</v>
      </c>
      <c r="AW20" s="884"/>
      <c r="AX20" s="485" t="s">
        <v>440</v>
      </c>
      <c r="AY20" s="486">
        <f>AY13</f>
        <v>37038</v>
      </c>
      <c r="AZ20" s="458">
        <f>INDEX($BK$16:$BL$19,MATCH($AX20,$BK$16:$BK$19,0),2)</f>
        <v>3.5</v>
      </c>
      <c r="BA20" s="399">
        <f>AY20/2*AZ20*$BS$13/10^3</f>
        <v>202.89585577693424</v>
      </c>
      <c r="BB20" s="400">
        <f>SUM(AY18:AY20)</f>
        <v>63732</v>
      </c>
      <c r="BC20" s="400">
        <f>SUM(BA18:BA20)</f>
        <v>5400.7160188601574</v>
      </c>
      <c r="BD20" s="402"/>
      <c r="BE20" s="394"/>
      <c r="BF20" s="394"/>
      <c r="BG20" s="394"/>
      <c r="BH20" s="394"/>
      <c r="BI20" s="394"/>
      <c r="BJ20" s="464"/>
      <c r="BK20" s="464"/>
      <c r="BL20" s="464"/>
      <c r="BM20" s="464"/>
      <c r="BN20" s="464"/>
      <c r="BO20" s="464"/>
      <c r="BP20" s="464"/>
      <c r="BQ20" s="464"/>
      <c r="BR20" s="464"/>
      <c r="BS20" s="464"/>
      <c r="BT20" s="464"/>
      <c r="BU20" s="464"/>
    </row>
    <row r="21" spans="1:73" ht="15" thickBot="1" x14ac:dyDescent="0.8">
      <c r="A21" s="883"/>
      <c r="B21" s="396" t="s">
        <v>216</v>
      </c>
      <c r="C21" s="397">
        <v>29146</v>
      </c>
      <c r="D21" s="398">
        <v>4062</v>
      </c>
      <c r="E21" s="399">
        <v>67</v>
      </c>
      <c r="F21" s="398">
        <v>8095</v>
      </c>
      <c r="G21" s="400">
        <f>SUM(C11:C21)</f>
        <v>392306</v>
      </c>
      <c r="H21" s="400">
        <f>SUM(D11:D21)</f>
        <v>61891</v>
      </c>
      <c r="I21" s="400">
        <f>SUM(E11:E21)</f>
        <v>984</v>
      </c>
      <c r="J21" s="400">
        <f>SUM(F11:F21)</f>
        <v>102654</v>
      </c>
      <c r="K21" s="374"/>
      <c r="L21" s="403"/>
      <c r="M21" s="403"/>
      <c r="N21" s="403"/>
      <c r="O21" s="403"/>
      <c r="P21" s="403"/>
      <c r="Q21" s="403"/>
      <c r="R21" s="403"/>
      <c r="S21" s="403"/>
      <c r="AL21" s="50">
        <f t="shared" si="2"/>
        <v>2016.846153846154</v>
      </c>
      <c r="AO21" s="50">
        <f t="shared" si="3"/>
        <v>2016.9166666666658</v>
      </c>
      <c r="AW21" s="409" t="s">
        <v>21</v>
      </c>
      <c r="AX21" s="410">
        <f>AW11</f>
        <v>2016</v>
      </c>
      <c r="AY21" s="411">
        <f>SUM(AY18:AY20)</f>
        <v>63732</v>
      </c>
      <c r="AZ21" s="411"/>
      <c r="BA21" s="411">
        <f>SUM(BA18:BA20)</f>
        <v>5400.7160188601574</v>
      </c>
      <c r="BB21" s="412">
        <f>BB20</f>
        <v>63732</v>
      </c>
      <c r="BC21" s="412">
        <f>BC20</f>
        <v>5400.7160188601574</v>
      </c>
      <c r="BD21" s="413"/>
      <c r="BE21" s="414"/>
      <c r="BF21" s="414"/>
      <c r="BG21" s="414"/>
      <c r="BH21" s="414"/>
      <c r="BI21" s="414"/>
      <c r="BJ21" s="464"/>
      <c r="BK21" s="464"/>
      <c r="BL21" s="464"/>
      <c r="BM21" s="464"/>
      <c r="BN21" s="464"/>
      <c r="BO21" s="464"/>
      <c r="BP21" s="464"/>
      <c r="BQ21" s="464"/>
      <c r="BR21" s="464"/>
      <c r="BS21" s="464"/>
      <c r="BT21" s="464"/>
      <c r="BU21" s="464"/>
    </row>
    <row r="22" spans="1:73" ht="15" thickBot="1" x14ac:dyDescent="0.8">
      <c r="A22" s="884"/>
      <c r="B22" s="404" t="s">
        <v>217</v>
      </c>
      <c r="C22" s="405">
        <v>25003</v>
      </c>
      <c r="D22" s="406">
        <v>1841</v>
      </c>
      <c r="E22" s="407">
        <v>77</v>
      </c>
      <c r="F22" s="408">
        <v>9079</v>
      </c>
      <c r="G22" s="400">
        <f>SUM(C11:C22)</f>
        <v>417309</v>
      </c>
      <c r="H22" s="400">
        <f>SUM(D11:D22)</f>
        <v>63732</v>
      </c>
      <c r="I22" s="400">
        <f>SUM(E11:E22)</f>
        <v>1061</v>
      </c>
      <c r="J22" s="400">
        <f>SUM(F11:F22)</f>
        <v>111733</v>
      </c>
      <c r="K22" s="374"/>
      <c r="L22" s="403"/>
      <c r="M22" s="403"/>
      <c r="N22" s="403"/>
      <c r="O22" s="403"/>
      <c r="P22" s="403"/>
      <c r="Q22" s="403"/>
      <c r="R22" s="403"/>
      <c r="S22" s="403"/>
      <c r="AL22" s="50">
        <f t="shared" si="2"/>
        <v>2016.9230769230771</v>
      </c>
      <c r="AO22" s="50">
        <f t="shared" si="3"/>
        <v>2016.9999999999991</v>
      </c>
      <c r="AP22" s="202">
        <f t="shared" ref="AP22:AQ33" si="6">L24</f>
        <v>-5.2820589555588805E-2</v>
      </c>
      <c r="AQ22" s="202">
        <f t="shared" si="6"/>
        <v>-0.45719082260772242</v>
      </c>
      <c r="AW22" s="897">
        <v>2017</v>
      </c>
      <c r="AX22" s="483" t="s">
        <v>438</v>
      </c>
      <c r="AY22" s="389">
        <v>16301</v>
      </c>
      <c r="AZ22" s="390">
        <f>INDEX($BK$16:$BL$19,MATCH($AX22,$BK$16:$BK$19,0),2)</f>
        <v>130</v>
      </c>
      <c r="BA22" s="391">
        <f>AY22/2*AZ22*$BS$13/10^3</f>
        <v>3316.7688385872011</v>
      </c>
      <c r="BB22" s="392">
        <f>AY22</f>
        <v>16301</v>
      </c>
      <c r="BC22" s="392">
        <f>BA22</f>
        <v>3316.7688385872011</v>
      </c>
      <c r="BD22" s="942" t="str">
        <f>"Milli áranna "&amp; AW11&amp;" og "&amp; AW22</f>
        <v>Milli áranna 2016 og 2017</v>
      </c>
      <c r="BE22" s="415">
        <f t="shared" ref="BE22:BE65" si="7">(AY22-AY11)/AY11</f>
        <v>-9.644698187461892E-2</v>
      </c>
      <c r="BF22" s="415"/>
      <c r="BG22" s="415">
        <f>(BA22-BA11)/BA11</f>
        <v>-9.6446981874618962E-2</v>
      </c>
      <c r="BH22" s="416">
        <f>(BB22-BB11)/BB11</f>
        <v>-9.644698187461892E-2</v>
      </c>
      <c r="BI22" s="416">
        <f>(BC22-BC11)/BC11</f>
        <v>-9.6446981874618962E-2</v>
      </c>
      <c r="BJ22" s="464"/>
      <c r="BK22" s="464"/>
      <c r="BL22" s="464"/>
      <c r="BM22" s="464"/>
      <c r="BN22" s="464"/>
      <c r="BO22" s="464"/>
      <c r="BP22" s="464"/>
      <c r="BQ22" s="464"/>
      <c r="BR22" s="464"/>
      <c r="BS22" s="464"/>
      <c r="BT22" s="464"/>
      <c r="BU22" s="464"/>
    </row>
    <row r="23" spans="1:73" ht="15" thickBot="1" x14ac:dyDescent="0.8">
      <c r="A23" s="409" t="s">
        <v>21</v>
      </c>
      <c r="B23" s="410">
        <v>2016</v>
      </c>
      <c r="C23" s="411">
        <f>SUM(C11:C22)</f>
        <v>417309</v>
      </c>
      <c r="D23" s="411">
        <f>SUM(D11:D22)</f>
        <v>63732</v>
      </c>
      <c r="E23" s="411">
        <f>SUM(E11:E22)</f>
        <v>1061</v>
      </c>
      <c r="F23" s="411">
        <f>SUM(F11:F22)</f>
        <v>111733</v>
      </c>
      <c r="G23" s="412">
        <f>G15</f>
        <v>154074</v>
      </c>
      <c r="H23" s="412">
        <f>H15</f>
        <v>28087</v>
      </c>
      <c r="I23" s="412">
        <f>I15</f>
        <v>432</v>
      </c>
      <c r="J23" s="412">
        <f>J15</f>
        <v>41565</v>
      </c>
      <c r="K23" s="413"/>
      <c r="L23" s="414"/>
      <c r="M23" s="414"/>
      <c r="N23" s="414"/>
      <c r="O23" s="414"/>
      <c r="P23" s="414"/>
      <c r="Q23" s="414"/>
      <c r="R23" s="414"/>
      <c r="S23" s="414"/>
      <c r="AL23" s="50">
        <f t="shared" si="2"/>
        <v>2017.0000000000002</v>
      </c>
      <c r="AO23" s="50">
        <f t="shared" si="3"/>
        <v>2017.0833333333323</v>
      </c>
      <c r="AP23" s="202">
        <f t="shared" si="6"/>
        <v>-5.219985085756898E-2</v>
      </c>
      <c r="AQ23" s="202">
        <f t="shared" si="6"/>
        <v>-0.39149383829275625</v>
      </c>
      <c r="AW23" s="883"/>
      <c r="AX23" s="484" t="s">
        <v>439</v>
      </c>
      <c r="AY23" s="397">
        <v>3876</v>
      </c>
      <c r="AZ23" s="398">
        <f>INDEX($BK$16:$BL$19,MATCH($AX23,$BK$16:$BK$19,0),2)</f>
        <v>110</v>
      </c>
      <c r="BA23" s="399">
        <f>AY23/2*AZ23*$BS$13/10^3</f>
        <v>667.319872787436</v>
      </c>
      <c r="BB23" s="400">
        <f>SUM(AY22:AY23)</f>
        <v>20177</v>
      </c>
      <c r="BC23" s="400">
        <f>SUM(BA22:BA23)</f>
        <v>3984.0887113746371</v>
      </c>
      <c r="BD23" s="899"/>
      <c r="BE23" s="415">
        <f t="shared" si="7"/>
        <v>-0.30995193163610468</v>
      </c>
      <c r="BF23" s="418"/>
      <c r="BG23" s="419">
        <f t="shared" ref="BG23:BG65" si="8">(BA23-BA12)/BA12</f>
        <v>-0.30995193163610463</v>
      </c>
      <c r="BH23" s="420">
        <f t="shared" ref="BH23:BH65" si="9">(BB23-BB12)/BB12</f>
        <v>-0.14713838870572321</v>
      </c>
      <c r="BI23" s="420">
        <f t="shared" ref="BI23:BI65" si="10">(BC23-BC12)/BC12</f>
        <v>-0.14096584773218149</v>
      </c>
      <c r="BJ23" s="464"/>
      <c r="BK23" s="464"/>
      <c r="BL23" s="464"/>
      <c r="BM23" s="464"/>
      <c r="BN23" s="464"/>
      <c r="BO23" s="464"/>
      <c r="BP23" s="464"/>
      <c r="BQ23" s="464"/>
      <c r="BR23" s="464"/>
      <c r="BS23" s="464"/>
      <c r="BT23" s="464"/>
      <c r="BU23" s="464"/>
    </row>
    <row r="24" spans="1:73" ht="14.25" customHeight="1" x14ac:dyDescent="0.65">
      <c r="A24" s="883">
        <v>2017</v>
      </c>
      <c r="B24" s="388" t="s">
        <v>191</v>
      </c>
      <c r="C24" s="389">
        <v>25320</v>
      </c>
      <c r="D24" s="390">
        <v>2910</v>
      </c>
      <c r="E24" s="391">
        <v>51</v>
      </c>
      <c r="F24" s="390">
        <v>8230</v>
      </c>
      <c r="G24" s="392">
        <f>C24</f>
        <v>25320</v>
      </c>
      <c r="H24" s="392">
        <f>D24</f>
        <v>2910</v>
      </c>
      <c r="I24" s="392">
        <f>E24</f>
        <v>51</v>
      </c>
      <c r="J24" s="392">
        <f>F24</f>
        <v>8230</v>
      </c>
      <c r="K24" s="899" t="s">
        <v>244</v>
      </c>
      <c r="L24" s="415">
        <f t="shared" ref="L24:L55" si="11">(C24-C11)/C11</f>
        <v>-5.2820589555588805E-2</v>
      </c>
      <c r="M24" s="415">
        <f t="shared" ref="M24:M55" si="12">(D24-D11)/D11</f>
        <v>-0.45719082260772242</v>
      </c>
      <c r="N24" s="415">
        <f t="shared" ref="N24:N55" si="13">(E24-E11)/E11</f>
        <v>-0.19047619047619047</v>
      </c>
      <c r="O24" s="416">
        <f t="shared" ref="O24:O55" si="14">(F24-F11)/F11</f>
        <v>1.4421299149513128E-2</v>
      </c>
      <c r="P24" s="416">
        <f t="shared" ref="P24:P55" si="15">(G24-G11)/G11</f>
        <v>-5.2820589555588805E-2</v>
      </c>
      <c r="Q24" s="416">
        <f t="shared" ref="Q24:Q55" si="16">(H24-H11)/H11</f>
        <v>-0.45719082260772242</v>
      </c>
      <c r="R24" s="416">
        <f t="shared" ref="R24:R55" si="17">(I24-I11)/I11</f>
        <v>-0.19047619047619047</v>
      </c>
      <c r="S24" s="416">
        <f t="shared" ref="S24:S55" si="18">(J24-J11)/J11</f>
        <v>1.4421299149513128E-2</v>
      </c>
      <c r="AL24" s="50">
        <f t="shared" si="2"/>
        <v>2017.0769230769233</v>
      </c>
      <c r="AO24" s="50">
        <f t="shared" si="3"/>
        <v>2017.1666666666656</v>
      </c>
      <c r="AP24" s="202">
        <f t="shared" si="6"/>
        <v>0.1015451849539566</v>
      </c>
      <c r="AQ24" s="202">
        <f t="shared" si="6"/>
        <v>1.0741744701823559</v>
      </c>
      <c r="AW24" s="883"/>
      <c r="AX24" s="484" t="s">
        <v>440</v>
      </c>
      <c r="AY24" s="397">
        <v>41379</v>
      </c>
      <c r="AZ24" s="458">
        <f>INDEX($BK$16:$BL$19,MATCH($AX24,$BK$16:$BK$19,0),2)</f>
        <v>3.5</v>
      </c>
      <c r="BA24" s="399">
        <f>AY24/2*AZ24*$BS$13/10^3</f>
        <v>226.676052059878</v>
      </c>
      <c r="BB24" s="400">
        <f>SUM(AY22:AY24)</f>
        <v>61556</v>
      </c>
      <c r="BC24" s="400">
        <f>SUM(BA22:BA24)</f>
        <v>4210.7647634345149</v>
      </c>
      <c r="BD24" s="899"/>
      <c r="BE24" s="415">
        <f t="shared" si="7"/>
        <v>0.11720395269722987</v>
      </c>
      <c r="BF24" s="418"/>
      <c r="BG24" s="419">
        <f t="shared" si="8"/>
        <v>0.11720395269722982</v>
      </c>
      <c r="BH24" s="420">
        <f t="shared" si="9"/>
        <v>1.4168973243706339E-2</v>
      </c>
      <c r="BI24" s="420">
        <f t="shared" si="10"/>
        <v>-0.13014491891414784</v>
      </c>
      <c r="BJ24" s="464"/>
      <c r="BK24" s="464"/>
      <c r="BL24" s="464"/>
      <c r="BM24" s="464"/>
      <c r="BN24" s="464"/>
      <c r="BO24" s="464"/>
      <c r="BP24" s="464"/>
      <c r="BQ24" s="464"/>
      <c r="BR24" s="464"/>
      <c r="BS24" s="464"/>
      <c r="BT24" s="464"/>
      <c r="BU24" s="464"/>
    </row>
    <row r="25" spans="1:73" ht="14.25" x14ac:dyDescent="0.65">
      <c r="A25" s="883"/>
      <c r="B25" s="396" t="s">
        <v>195</v>
      </c>
      <c r="C25" s="397">
        <v>27962</v>
      </c>
      <c r="D25" s="398">
        <v>4049</v>
      </c>
      <c r="E25" s="399">
        <v>57</v>
      </c>
      <c r="F25" s="398">
        <v>7494</v>
      </c>
      <c r="G25" s="400">
        <f>SUM(C24:C25)</f>
        <v>53282</v>
      </c>
      <c r="H25" s="400">
        <f>SUM(D24:D25)</f>
        <v>6959</v>
      </c>
      <c r="I25" s="400">
        <f>SUM(E24:E25)</f>
        <v>108</v>
      </c>
      <c r="J25" s="400">
        <f>SUM(F24:F25)</f>
        <v>15724</v>
      </c>
      <c r="K25" s="899"/>
      <c r="L25" s="417">
        <f t="shared" si="11"/>
        <v>-5.219985085756898E-2</v>
      </c>
      <c r="M25" s="418">
        <f t="shared" si="12"/>
        <v>-0.39149383829275625</v>
      </c>
      <c r="N25" s="419">
        <f t="shared" si="13"/>
        <v>-0.33720930232558138</v>
      </c>
      <c r="O25" s="420">
        <f t="shared" si="14"/>
        <v>-4.8501777552056882E-2</v>
      </c>
      <c r="P25" s="420">
        <f t="shared" si="15"/>
        <v>-5.2494931891738095E-2</v>
      </c>
      <c r="Q25" s="420">
        <f t="shared" si="16"/>
        <v>-0.42080732417811068</v>
      </c>
      <c r="R25" s="420">
        <f t="shared" si="17"/>
        <v>-0.27516778523489932</v>
      </c>
      <c r="S25" s="420">
        <f t="shared" si="18"/>
        <v>-1.6573894552504846E-2</v>
      </c>
      <c r="AL25" s="50">
        <f t="shared" si="2"/>
        <v>2017.1538461538464</v>
      </c>
      <c r="AO25" s="50">
        <f t="shared" si="3"/>
        <v>2017.2499999999989</v>
      </c>
      <c r="AP25" s="202">
        <f t="shared" si="6"/>
        <v>-4.3893485970260687E-2</v>
      </c>
      <c r="AQ25" s="202">
        <f t="shared" si="6"/>
        <v>-0.41833577593225857</v>
      </c>
      <c r="AW25" s="883"/>
      <c r="AX25" s="484" t="s">
        <v>441</v>
      </c>
      <c r="AY25" s="397">
        <f>SUM(AY22:AY24)</f>
        <v>61556</v>
      </c>
      <c r="AZ25" s="398"/>
      <c r="BA25" s="399">
        <f>SUM(BA22:BA24)</f>
        <v>4210.7647634345149</v>
      </c>
      <c r="BB25" s="400">
        <f>SUM(AY22:AY24)</f>
        <v>61556</v>
      </c>
      <c r="BC25" s="400">
        <f>SUM(BA22:BA24)</f>
        <v>4210.7647634345149</v>
      </c>
      <c r="BD25" s="899"/>
      <c r="BE25" s="415">
        <f t="shared" si="7"/>
        <v>1.4168973243706339E-2</v>
      </c>
      <c r="BF25" s="418"/>
      <c r="BG25" s="419">
        <f t="shared" si="8"/>
        <v>-0.13014491891414784</v>
      </c>
      <c r="BH25" s="420">
        <f t="shared" si="9"/>
        <v>1.4168973243706339E-2</v>
      </c>
      <c r="BI25" s="420">
        <f t="shared" si="10"/>
        <v>-0.13014491891414784</v>
      </c>
      <c r="BJ25" s="464"/>
      <c r="BK25" s="464"/>
      <c r="BL25" s="464"/>
      <c r="BM25" s="464"/>
      <c r="BN25" s="464"/>
      <c r="BO25" s="464"/>
      <c r="BP25" s="464"/>
      <c r="BQ25" s="464"/>
      <c r="BR25" s="464"/>
      <c r="BS25" s="464"/>
      <c r="BT25" s="464"/>
      <c r="BU25" s="464"/>
    </row>
    <row r="26" spans="1:73" ht="14.25" x14ac:dyDescent="0.65">
      <c r="A26" s="883"/>
      <c r="B26" s="396" t="s">
        <v>15</v>
      </c>
      <c r="C26" s="397">
        <v>35288</v>
      </c>
      <c r="D26" s="398">
        <v>8417</v>
      </c>
      <c r="E26" s="399">
        <v>70</v>
      </c>
      <c r="F26" s="398">
        <v>8896</v>
      </c>
      <c r="G26" s="400">
        <f>SUM(C24:C26)</f>
        <v>88570</v>
      </c>
      <c r="H26" s="400">
        <f>SUM(D24:D26)</f>
        <v>15376</v>
      </c>
      <c r="I26" s="400">
        <f>SUM(E24:E26)</f>
        <v>178</v>
      </c>
      <c r="J26" s="400">
        <f>SUM(F24:F26)</f>
        <v>24620</v>
      </c>
      <c r="K26" s="899"/>
      <c r="L26" s="417">
        <f t="shared" si="11"/>
        <v>0.1015451849539566</v>
      </c>
      <c r="M26" s="418">
        <f t="shared" si="12"/>
        <v>1.0741744701823559</v>
      </c>
      <c r="N26" s="419">
        <f t="shared" si="13"/>
        <v>-0.2857142857142857</v>
      </c>
      <c r="O26" s="420">
        <f t="shared" si="14"/>
        <v>0.10030921459492888</v>
      </c>
      <c r="P26" s="420">
        <f t="shared" si="15"/>
        <v>3.4100307016053199E-3</v>
      </c>
      <c r="Q26" s="420">
        <f t="shared" si="16"/>
        <v>-4.3364648789896099E-2</v>
      </c>
      <c r="R26" s="420">
        <f t="shared" si="17"/>
        <v>-0.2793522267206478</v>
      </c>
      <c r="S26" s="420">
        <f t="shared" si="18"/>
        <v>2.2680069784830108E-2</v>
      </c>
      <c r="AL26" s="50">
        <f t="shared" si="2"/>
        <v>2017.2307692307695</v>
      </c>
      <c r="AO26" s="50">
        <f t="shared" si="3"/>
        <v>2017.3333333333321</v>
      </c>
      <c r="AP26" s="202">
        <f t="shared" si="6"/>
        <v>9.0703823643007817E-2</v>
      </c>
      <c r="AQ26" s="202">
        <f t="shared" si="6"/>
        <v>-0.10846245530393325</v>
      </c>
      <c r="AW26" s="883"/>
      <c r="AX26" s="484" t="s">
        <v>438</v>
      </c>
      <c r="AY26" s="397">
        <v>1529</v>
      </c>
      <c r="AZ26" s="398">
        <f>INDEX($BK$16:$BL$19,MATCH($AX26,$BK$16:$BK$19,0),2)</f>
        <v>130</v>
      </c>
      <c r="BA26" s="399">
        <f>AY26/2*AZ26*$BS$13/10^3</f>
        <v>311.10603976442121</v>
      </c>
      <c r="BB26" s="400">
        <f>SUM(AY26)</f>
        <v>1529</v>
      </c>
      <c r="BC26" s="400">
        <f>SUM(BA26)</f>
        <v>311.10603976442121</v>
      </c>
      <c r="BD26" s="899"/>
      <c r="BE26" s="415">
        <f t="shared" si="7"/>
        <v>0.28487394957983192</v>
      </c>
      <c r="BF26" s="418"/>
      <c r="BG26" s="419">
        <f t="shared" si="8"/>
        <v>0.28487394957983175</v>
      </c>
      <c r="BH26" s="420">
        <f t="shared" si="9"/>
        <v>0.28487394957983192</v>
      </c>
      <c r="BI26" s="420">
        <f t="shared" si="10"/>
        <v>0.28487394957983175</v>
      </c>
      <c r="BJ26" s="464"/>
      <c r="BK26" s="464"/>
      <c r="BL26" s="464"/>
      <c r="BM26" s="464"/>
      <c r="BN26" s="464"/>
      <c r="BO26" s="464"/>
      <c r="BP26" s="464"/>
      <c r="BQ26" s="464"/>
      <c r="BR26" s="464"/>
      <c r="BS26" s="464"/>
      <c r="BT26" s="464"/>
      <c r="BU26" s="464"/>
    </row>
    <row r="27" spans="1:73" ht="14.25" x14ac:dyDescent="0.65">
      <c r="A27" s="883"/>
      <c r="B27" s="396" t="s">
        <v>16</v>
      </c>
      <c r="C27" s="397">
        <v>30735</v>
      </c>
      <c r="D27" s="398">
        <v>3572</v>
      </c>
      <c r="E27" s="399">
        <v>64</v>
      </c>
      <c r="F27" s="398">
        <v>8792</v>
      </c>
      <c r="G27" s="400">
        <f>SUM(C24:C27)</f>
        <v>119305</v>
      </c>
      <c r="H27" s="400">
        <f>SUM(D24:D27)</f>
        <v>18948</v>
      </c>
      <c r="I27" s="400">
        <f>SUM(E24:E27)</f>
        <v>242</v>
      </c>
      <c r="J27" s="400">
        <f>SUM(F24:F27)</f>
        <v>33412</v>
      </c>
      <c r="K27" s="899"/>
      <c r="L27" s="417">
        <f t="shared" si="11"/>
        <v>-4.3893485970260687E-2</v>
      </c>
      <c r="M27" s="418">
        <f t="shared" si="12"/>
        <v>-0.41833577593225857</v>
      </c>
      <c r="N27" s="419">
        <f t="shared" si="13"/>
        <v>-0.30434782608695654</v>
      </c>
      <c r="O27" s="420">
        <f t="shared" si="14"/>
        <v>6.2734195575970028E-2</v>
      </c>
      <c r="P27" s="420">
        <f t="shared" si="15"/>
        <v>-9.2181206660299792E-3</v>
      </c>
      <c r="Q27" s="420">
        <f t="shared" si="16"/>
        <v>-0.14702439902764022</v>
      </c>
      <c r="R27" s="420">
        <f t="shared" si="17"/>
        <v>-0.28613569321533922</v>
      </c>
      <c r="S27" s="420">
        <f t="shared" si="18"/>
        <v>3.2924227903669584E-2</v>
      </c>
      <c r="AL27" s="50">
        <f t="shared" si="2"/>
        <v>2017.3076923076926</v>
      </c>
      <c r="AO27" s="50">
        <f t="shared" si="3"/>
        <v>2017.4166666666654</v>
      </c>
      <c r="AP27" s="202">
        <f t="shared" si="6"/>
        <v>6.3871033568003263E-2</v>
      </c>
      <c r="AQ27" s="202">
        <f t="shared" si="6"/>
        <v>0.3007531106745252</v>
      </c>
      <c r="AW27" s="883"/>
      <c r="AX27" s="484" t="s">
        <v>439</v>
      </c>
      <c r="AY27" s="397">
        <v>1571</v>
      </c>
      <c r="AZ27" s="398">
        <f>INDEX($BK$16:$BL$19,MATCH($AX27,$BK$16:$BK$19,0),2)</f>
        <v>110</v>
      </c>
      <c r="BA27" s="399">
        <f>AY27/2*AZ27*$BS$13/10^3</f>
        <v>270.47459240171878</v>
      </c>
      <c r="BB27" s="400">
        <f>SUM(AY26:AY27)</f>
        <v>3100</v>
      </c>
      <c r="BC27" s="400">
        <f>SUM(BA26:BA27)</f>
        <v>581.58063216614005</v>
      </c>
      <c r="BD27" s="899"/>
      <c r="BE27" s="415">
        <f t="shared" si="7"/>
        <v>-0.14897074756229686</v>
      </c>
      <c r="BF27" s="418"/>
      <c r="BG27" s="419">
        <f t="shared" si="8"/>
        <v>-0.14897074756229675</v>
      </c>
      <c r="BH27" s="420">
        <f t="shared" si="9"/>
        <v>2.1080368906455864E-2</v>
      </c>
      <c r="BI27" s="420">
        <f t="shared" si="10"/>
        <v>3.8629248658318516E-2</v>
      </c>
      <c r="BJ27" s="464"/>
      <c r="BK27" s="464"/>
      <c r="BL27" s="464"/>
      <c r="BM27" s="464"/>
      <c r="BN27" s="464"/>
      <c r="BO27" s="464"/>
      <c r="BP27" s="464"/>
      <c r="BQ27" s="464"/>
      <c r="BR27" s="464"/>
      <c r="BS27" s="464"/>
      <c r="BT27" s="464"/>
      <c r="BU27" s="464"/>
    </row>
    <row r="28" spans="1:73" ht="14.25" x14ac:dyDescent="0.65">
      <c r="A28" s="883"/>
      <c r="B28" s="396" t="s">
        <v>17</v>
      </c>
      <c r="C28" s="397">
        <v>36712</v>
      </c>
      <c r="D28" s="398">
        <v>5236</v>
      </c>
      <c r="E28" s="399">
        <v>67</v>
      </c>
      <c r="F28" s="398">
        <v>9724</v>
      </c>
      <c r="G28" s="400">
        <f>SUM(C24:C28)</f>
        <v>156017</v>
      </c>
      <c r="H28" s="400">
        <f>SUM(D24:D28)</f>
        <v>24184</v>
      </c>
      <c r="I28" s="400">
        <f>SUM(E24:E28)</f>
        <v>309</v>
      </c>
      <c r="J28" s="400">
        <f>SUM(F24:F28)</f>
        <v>43136</v>
      </c>
      <c r="K28" s="899"/>
      <c r="L28" s="417">
        <f t="shared" si="11"/>
        <v>9.0703823643007817E-2</v>
      </c>
      <c r="M28" s="418">
        <f t="shared" si="12"/>
        <v>-0.10846245530393325</v>
      </c>
      <c r="N28" s="419">
        <f t="shared" si="13"/>
        <v>-0.27956989247311825</v>
      </c>
      <c r="O28" s="420">
        <f t="shared" si="14"/>
        <v>5.4892601431980909E-2</v>
      </c>
      <c r="P28" s="420">
        <f t="shared" si="15"/>
        <v>1.2610823370588159E-2</v>
      </c>
      <c r="Q28" s="420">
        <f t="shared" si="16"/>
        <v>-0.13896108519955852</v>
      </c>
      <c r="R28" s="420">
        <f t="shared" si="17"/>
        <v>-0.28472222222222221</v>
      </c>
      <c r="S28" s="420">
        <f t="shared" si="18"/>
        <v>3.7796222783591966E-2</v>
      </c>
      <c r="AL28" s="50">
        <f t="shared" si="2"/>
        <v>2017.3846153846157</v>
      </c>
      <c r="AO28" s="50">
        <f t="shared" si="3"/>
        <v>2017.4999999999986</v>
      </c>
      <c r="AP28" s="202">
        <f t="shared" si="6"/>
        <v>-4.6558746736292428E-2</v>
      </c>
      <c r="AQ28" s="202">
        <f t="shared" si="6"/>
        <v>-1.1626217119604709E-2</v>
      </c>
      <c r="AW28" s="883"/>
      <c r="AX28" s="484" t="s">
        <v>442</v>
      </c>
      <c r="AY28" s="397">
        <f>AY27+AY26</f>
        <v>3100</v>
      </c>
      <c r="AZ28" s="398"/>
      <c r="BA28" s="399">
        <f>SUM(BA26:BA27)</f>
        <v>581.58063216614005</v>
      </c>
      <c r="BB28" s="400">
        <f>SUM(AY28)</f>
        <v>3100</v>
      </c>
      <c r="BC28" s="400">
        <f>SUM(BA28)</f>
        <v>581.58063216614005</v>
      </c>
      <c r="BD28" s="899"/>
      <c r="BE28" s="415">
        <f t="shared" si="7"/>
        <v>2.1080368906455864E-2</v>
      </c>
      <c r="BF28" s="418"/>
      <c r="BG28" s="419">
        <f t="shared" si="8"/>
        <v>3.8629248658318516E-2</v>
      </c>
      <c r="BH28" s="420">
        <f t="shared" si="9"/>
        <v>2.1080368906455864E-2</v>
      </c>
      <c r="BI28" s="420">
        <f t="shared" si="10"/>
        <v>3.8629248658318516E-2</v>
      </c>
      <c r="BJ28" s="464"/>
      <c r="BK28" s="464"/>
      <c r="BL28" s="464"/>
      <c r="BM28" s="464"/>
      <c r="BN28" s="464"/>
      <c r="BO28" s="464"/>
      <c r="BP28" s="464"/>
      <c r="BQ28" s="464"/>
      <c r="BR28" s="464"/>
      <c r="BS28" s="464"/>
      <c r="BT28" s="464"/>
      <c r="BU28" s="464"/>
    </row>
    <row r="29" spans="1:73" ht="14.25" x14ac:dyDescent="0.65">
      <c r="A29" s="883"/>
      <c r="B29" s="396" t="s">
        <v>18</v>
      </c>
      <c r="C29" s="397">
        <v>41708</v>
      </c>
      <c r="D29" s="398">
        <v>7945</v>
      </c>
      <c r="E29" s="399">
        <v>67</v>
      </c>
      <c r="F29" s="398">
        <v>11975</v>
      </c>
      <c r="G29" s="400">
        <f>SUM(C24:C29)</f>
        <v>197725</v>
      </c>
      <c r="H29" s="400">
        <f>SUM(D24:D29)</f>
        <v>32129</v>
      </c>
      <c r="I29" s="400">
        <f>SUM(E24:E29)</f>
        <v>376</v>
      </c>
      <c r="J29" s="400">
        <f>SUM(F24:F29)</f>
        <v>55111</v>
      </c>
      <c r="K29" s="899"/>
      <c r="L29" s="417">
        <f t="shared" si="11"/>
        <v>6.3871033568003263E-2</v>
      </c>
      <c r="M29" s="418">
        <f t="shared" si="12"/>
        <v>0.3007531106745252</v>
      </c>
      <c r="N29" s="419">
        <f t="shared" si="13"/>
        <v>-0.30927835051546393</v>
      </c>
      <c r="O29" s="420">
        <f t="shared" si="14"/>
        <v>0.2081315577078289</v>
      </c>
      <c r="P29" s="420">
        <f t="shared" si="15"/>
        <v>2.3008309274723457E-2</v>
      </c>
      <c r="Q29" s="420">
        <f t="shared" si="16"/>
        <v>-6.0418189793829506E-2</v>
      </c>
      <c r="R29" s="420">
        <f t="shared" si="17"/>
        <v>-0.28922495274102078</v>
      </c>
      <c r="S29" s="420">
        <f t="shared" si="18"/>
        <v>7.059463449695981E-2</v>
      </c>
      <c r="AL29" s="50">
        <f t="shared" si="2"/>
        <v>2017.4615384615388</v>
      </c>
      <c r="AO29" s="50">
        <f t="shared" si="3"/>
        <v>2017.5833333333319</v>
      </c>
      <c r="AP29" s="202">
        <f t="shared" si="6"/>
        <v>1.3588634959851761E-2</v>
      </c>
      <c r="AQ29" s="202">
        <f t="shared" si="6"/>
        <v>-0.26066802999318339</v>
      </c>
      <c r="AW29" s="883"/>
      <c r="AX29" s="485" t="s">
        <v>438</v>
      </c>
      <c r="AY29" s="486">
        <f>AY22+AY26</f>
        <v>17830</v>
      </c>
      <c r="AZ29" s="398">
        <f>INDEX($BK$16:$BL$19,MATCH($AX29,$BK$16:$BK$19,0),2)</f>
        <v>130</v>
      </c>
      <c r="BA29" s="399">
        <f>AY29/2*AZ29*$BS$13/10^3</f>
        <v>3627.8748783516226</v>
      </c>
      <c r="BB29" s="400">
        <f>SUM(AY29)</f>
        <v>17830</v>
      </c>
      <c r="BC29" s="400">
        <f>SUM(BA29)</f>
        <v>3627.8748783516226</v>
      </c>
      <c r="BD29" s="899"/>
      <c r="BE29" s="415">
        <f t="shared" si="7"/>
        <v>-7.2851125786490556E-2</v>
      </c>
      <c r="BF29" s="418"/>
      <c r="BG29" s="419">
        <f t="shared" si="8"/>
        <v>-7.2851125786490584E-2</v>
      </c>
      <c r="BH29" s="420">
        <f t="shared" si="9"/>
        <v>-7.2851125786490556E-2</v>
      </c>
      <c r="BI29" s="420">
        <f t="shared" si="10"/>
        <v>-7.2851125786490584E-2</v>
      </c>
      <c r="BJ29" s="464"/>
      <c r="BK29" s="464"/>
      <c r="BL29" s="464"/>
      <c r="BM29" s="464"/>
      <c r="BN29" s="464"/>
      <c r="BO29" s="464"/>
      <c r="BP29" s="464"/>
      <c r="BQ29" s="464"/>
      <c r="BR29" s="464"/>
      <c r="BS29" s="464"/>
      <c r="BT29" s="464"/>
      <c r="BU29" s="464"/>
    </row>
    <row r="30" spans="1:73" ht="14.25" x14ac:dyDescent="0.65">
      <c r="A30" s="883"/>
      <c r="B30" s="396" t="s">
        <v>19</v>
      </c>
      <c r="C30" s="397">
        <v>45646</v>
      </c>
      <c r="D30" s="398">
        <v>6801</v>
      </c>
      <c r="E30" s="399">
        <v>67</v>
      </c>
      <c r="F30" s="398">
        <v>12413</v>
      </c>
      <c r="G30" s="400">
        <f>SUM(C24:C30)</f>
        <v>243371</v>
      </c>
      <c r="H30" s="400">
        <f>SUM(D24:D30)</f>
        <v>38930</v>
      </c>
      <c r="I30" s="400">
        <f>SUM(E24:E30)</f>
        <v>443</v>
      </c>
      <c r="J30" s="400">
        <f>SUM(F24:F30)</f>
        <v>67524</v>
      </c>
      <c r="K30" s="899"/>
      <c r="L30" s="417">
        <f t="shared" si="11"/>
        <v>-4.6558746736292428E-2</v>
      </c>
      <c r="M30" s="418">
        <f t="shared" si="12"/>
        <v>-1.1626217119604709E-2</v>
      </c>
      <c r="N30" s="419">
        <f t="shared" si="13"/>
        <v>-0.28723404255319152</v>
      </c>
      <c r="O30" s="420">
        <f t="shared" si="14"/>
        <v>7.110190698075762E-2</v>
      </c>
      <c r="P30" s="420">
        <f t="shared" si="15"/>
        <v>9.1974804377304032E-3</v>
      </c>
      <c r="Q30" s="420">
        <f t="shared" si="16"/>
        <v>-5.2244619729282307E-2</v>
      </c>
      <c r="R30" s="420">
        <f t="shared" si="17"/>
        <v>-0.28892455858747995</v>
      </c>
      <c r="S30" s="420">
        <f t="shared" si="18"/>
        <v>7.0687850822947387E-2</v>
      </c>
      <c r="AL30" s="50">
        <f t="shared" si="2"/>
        <v>2017.5384615384619</v>
      </c>
      <c r="AO30" s="50">
        <f t="shared" si="3"/>
        <v>2017.6666666666652</v>
      </c>
      <c r="AP30" s="202">
        <f t="shared" si="6"/>
        <v>-2.7555813840863964E-2</v>
      </c>
      <c r="AQ30" s="202">
        <f t="shared" si="6"/>
        <v>-7.7912665337923539E-3</v>
      </c>
      <c r="AW30" s="883"/>
      <c r="AX30" s="485" t="s">
        <v>439</v>
      </c>
      <c r="AY30" s="486">
        <f>AY23+AY27</f>
        <v>5447</v>
      </c>
      <c r="AZ30" s="398">
        <f>INDEX($BK$16:$BL$19,MATCH($AX30,$BK$16:$BK$19,0),2)</f>
        <v>110</v>
      </c>
      <c r="BA30" s="399">
        <f>AY30/2*AZ30*$BS$13/10^3</f>
        <v>937.79446518915472</v>
      </c>
      <c r="BB30" s="400">
        <f>SUM(AY29:AY30)</f>
        <v>23277</v>
      </c>
      <c r="BC30" s="400">
        <f>SUM(BA29:BA30)</f>
        <v>4565.6693435407769</v>
      </c>
      <c r="BD30" s="899"/>
      <c r="BE30" s="415">
        <f t="shared" si="7"/>
        <v>-0.27013265442851403</v>
      </c>
      <c r="BF30" s="418"/>
      <c r="BG30" s="419">
        <f t="shared" si="8"/>
        <v>-0.27013265442851397</v>
      </c>
      <c r="BH30" s="420">
        <f t="shared" si="9"/>
        <v>-0.12800629354911217</v>
      </c>
      <c r="BI30" s="420">
        <f t="shared" si="10"/>
        <v>-0.12161844767777995</v>
      </c>
      <c r="BJ30" s="464"/>
      <c r="BK30" s="464"/>
      <c r="BL30" s="464"/>
      <c r="BM30" s="464"/>
      <c r="BN30" s="464"/>
      <c r="BO30" s="464"/>
      <c r="BP30" s="464"/>
      <c r="BQ30" s="464"/>
      <c r="BR30" s="464"/>
      <c r="BS30" s="464"/>
      <c r="BT30" s="464"/>
      <c r="BU30" s="464"/>
    </row>
    <row r="31" spans="1:73" ht="15" thickBot="1" x14ac:dyDescent="0.8">
      <c r="A31" s="883"/>
      <c r="B31" s="396" t="s">
        <v>20</v>
      </c>
      <c r="C31" s="397">
        <v>47589</v>
      </c>
      <c r="D31" s="398">
        <v>5423</v>
      </c>
      <c r="E31" s="399">
        <v>67</v>
      </c>
      <c r="F31" s="398">
        <v>12364</v>
      </c>
      <c r="G31" s="400">
        <f>SUM(C24:C31)</f>
        <v>290960</v>
      </c>
      <c r="H31" s="400">
        <f>SUM(D24:D31)</f>
        <v>44353</v>
      </c>
      <c r="I31" s="400">
        <f>SUM(E24:E31)</f>
        <v>510</v>
      </c>
      <c r="J31" s="400">
        <f>SUM(F24:F31)</f>
        <v>79888</v>
      </c>
      <c r="K31" s="899"/>
      <c r="L31" s="417">
        <f t="shared" si="11"/>
        <v>1.3588634959851761E-2</v>
      </c>
      <c r="M31" s="418">
        <f t="shared" si="12"/>
        <v>-0.26066802999318339</v>
      </c>
      <c r="N31" s="419">
        <f t="shared" si="13"/>
        <v>-0.4017857142857143</v>
      </c>
      <c r="O31" s="420">
        <f t="shared" si="14"/>
        <v>0.12584228737934802</v>
      </c>
      <c r="P31" s="420">
        <f t="shared" si="15"/>
        <v>9.9130869408269231E-3</v>
      </c>
      <c r="Q31" s="420">
        <f t="shared" si="16"/>
        <v>-8.3823924314721868E-2</v>
      </c>
      <c r="R31" s="420">
        <f t="shared" si="17"/>
        <v>-0.30612244897959184</v>
      </c>
      <c r="S31" s="420">
        <f t="shared" si="18"/>
        <v>7.8867761452031115E-2</v>
      </c>
      <c r="AL31" s="50">
        <f t="shared" si="2"/>
        <v>2017.615384615385</v>
      </c>
      <c r="AO31" s="50">
        <f t="shared" si="3"/>
        <v>2017.7499999999984</v>
      </c>
      <c r="AP31" s="202">
        <f t="shared" si="6"/>
        <v>8.1580662361514303E-2</v>
      </c>
      <c r="AQ31" s="202">
        <f t="shared" si="6"/>
        <v>0.55373172608361121</v>
      </c>
      <c r="AW31" s="884"/>
      <c r="AX31" s="485" t="s">
        <v>440</v>
      </c>
      <c r="AY31" s="486">
        <f>AY24</f>
        <v>41379</v>
      </c>
      <c r="AZ31" s="458">
        <f>INDEX($BK$16:$BL$19,MATCH($AX31,$BK$16:$BK$19,0),2)</f>
        <v>3.5</v>
      </c>
      <c r="BA31" s="399">
        <f>AY31/2*AZ31*$BS$13/10^3</f>
        <v>226.676052059878</v>
      </c>
      <c r="BB31" s="400">
        <f>SUM(AY29:AY31)</f>
        <v>64656</v>
      </c>
      <c r="BC31" s="400">
        <f>SUM(BA29:BA31)</f>
        <v>4792.3453956006551</v>
      </c>
      <c r="BD31" s="899"/>
      <c r="BE31" s="415">
        <f t="shared" si="7"/>
        <v>0.11720395269722987</v>
      </c>
      <c r="BF31" s="418"/>
      <c r="BG31" s="419">
        <f t="shared" si="8"/>
        <v>0.11720395269722982</v>
      </c>
      <c r="BH31" s="420">
        <f t="shared" si="9"/>
        <v>1.4498211259649783E-2</v>
      </c>
      <c r="BI31" s="420">
        <f t="shared" si="10"/>
        <v>-0.11264629007245994</v>
      </c>
      <c r="BJ31" s="464"/>
      <c r="BK31" s="464"/>
      <c r="BL31" s="464"/>
      <c r="BM31" s="464"/>
      <c r="BN31" s="464"/>
      <c r="BO31" s="464"/>
      <c r="BP31" s="464"/>
      <c r="BQ31" s="464"/>
      <c r="BR31" s="464"/>
      <c r="BS31" s="464"/>
      <c r="BT31" s="464"/>
      <c r="BU31" s="464"/>
    </row>
    <row r="32" spans="1:73" ht="15" thickBot="1" x14ac:dyDescent="0.8">
      <c r="A32" s="883"/>
      <c r="B32" s="396" t="s">
        <v>211</v>
      </c>
      <c r="C32" s="397">
        <v>40160</v>
      </c>
      <c r="D32" s="398">
        <v>5476</v>
      </c>
      <c r="E32" s="399">
        <v>72</v>
      </c>
      <c r="F32" s="398">
        <v>11969</v>
      </c>
      <c r="G32" s="400">
        <f>SUM(C24:C32)</f>
        <v>331120</v>
      </c>
      <c r="H32" s="400">
        <f>SUM(D24:D32)</f>
        <v>49829</v>
      </c>
      <c r="I32" s="400">
        <f>SUM(E24:E32)</f>
        <v>582</v>
      </c>
      <c r="J32" s="400">
        <f>SUM(F24:F32)</f>
        <v>91857</v>
      </c>
      <c r="K32" s="899"/>
      <c r="L32" s="417">
        <f t="shared" si="11"/>
        <v>-2.7555813840863964E-2</v>
      </c>
      <c r="M32" s="418">
        <f t="shared" si="12"/>
        <v>-7.7912665337923539E-3</v>
      </c>
      <c r="N32" s="419">
        <f t="shared" si="13"/>
        <v>-0.16279069767441862</v>
      </c>
      <c r="O32" s="420">
        <f t="shared" si="14"/>
        <v>8.7893110343573902E-2</v>
      </c>
      <c r="P32" s="420">
        <f t="shared" si="15"/>
        <v>5.2155117455267427E-3</v>
      </c>
      <c r="Q32" s="420">
        <f t="shared" si="16"/>
        <v>-7.6043018727980721E-2</v>
      </c>
      <c r="R32" s="420">
        <f t="shared" si="17"/>
        <v>-0.29110840438489649</v>
      </c>
      <c r="S32" s="420">
        <f t="shared" si="18"/>
        <v>8.0035273368606705E-2</v>
      </c>
      <c r="AL32" s="50">
        <f t="shared" si="2"/>
        <v>2017.6923076923081</v>
      </c>
      <c r="AO32" s="50">
        <f t="shared" si="3"/>
        <v>2017.8333333333317</v>
      </c>
      <c r="AP32" s="202">
        <f t="shared" si="6"/>
        <v>5.0229877170109107E-2</v>
      </c>
      <c r="AQ32" s="202">
        <f t="shared" si="6"/>
        <v>0.11669128508124077</v>
      </c>
      <c r="AW32" s="409" t="s">
        <v>21</v>
      </c>
      <c r="AX32" s="425">
        <f>AW22</f>
        <v>2017</v>
      </c>
      <c r="AY32" s="411">
        <f>SUM(AY29:AY31)</f>
        <v>64656</v>
      </c>
      <c r="AZ32" s="411"/>
      <c r="BA32" s="411">
        <f>SUM(BA29:BA31)</f>
        <v>4792.3453956006551</v>
      </c>
      <c r="BB32" s="412">
        <f>BB31</f>
        <v>64656</v>
      </c>
      <c r="BC32" s="412">
        <f>BC31</f>
        <v>4792.3453956006551</v>
      </c>
      <c r="BD32" s="900"/>
      <c r="BE32" s="426">
        <f t="shared" si="7"/>
        <v>1.4498211259649783E-2</v>
      </c>
      <c r="BF32" s="426"/>
      <c r="BG32" s="427">
        <f t="shared" si="8"/>
        <v>-0.11264629007245994</v>
      </c>
      <c r="BH32" s="428">
        <f t="shared" si="9"/>
        <v>1.4498211259649783E-2</v>
      </c>
      <c r="BI32" s="428">
        <f t="shared" si="10"/>
        <v>-0.11264629007245994</v>
      </c>
      <c r="BJ32" s="464"/>
      <c r="BK32" s="464"/>
      <c r="BL32" s="464"/>
      <c r="BM32" s="464"/>
      <c r="BN32" s="464"/>
      <c r="BO32" s="464"/>
      <c r="BP32" s="464"/>
      <c r="BQ32" s="464"/>
      <c r="BR32" s="464"/>
      <c r="BS32" s="464"/>
      <c r="BT32" s="464"/>
      <c r="BU32" s="464"/>
    </row>
    <row r="33" spans="1:73" ht="14.25" x14ac:dyDescent="0.65">
      <c r="A33" s="883"/>
      <c r="B33" s="396" t="s">
        <v>213</v>
      </c>
      <c r="C33" s="397">
        <v>36512</v>
      </c>
      <c r="D33" s="398">
        <v>6058</v>
      </c>
      <c r="E33" s="399">
        <v>56</v>
      </c>
      <c r="F33" s="398">
        <v>10824</v>
      </c>
      <c r="G33" s="400">
        <f>SUM(C24:C33)</f>
        <v>367632</v>
      </c>
      <c r="H33" s="400">
        <f>SUM(D24:D33)</f>
        <v>55887</v>
      </c>
      <c r="I33" s="400">
        <f>SUM(E24:E33)</f>
        <v>638</v>
      </c>
      <c r="J33" s="400">
        <f>SUM(F24:F33)</f>
        <v>102681</v>
      </c>
      <c r="K33" s="899"/>
      <c r="L33" s="417">
        <f t="shared" si="11"/>
        <v>8.1580662361514303E-2</v>
      </c>
      <c r="M33" s="418">
        <f t="shared" si="12"/>
        <v>0.55373172608361121</v>
      </c>
      <c r="N33" s="419">
        <f t="shared" si="13"/>
        <v>-0.41666666666666669</v>
      </c>
      <c r="O33" s="420">
        <f t="shared" si="14"/>
        <v>0.13829004101377643</v>
      </c>
      <c r="P33" s="420">
        <f t="shared" si="15"/>
        <v>1.2314131512281088E-2</v>
      </c>
      <c r="Q33" s="420">
        <f t="shared" si="16"/>
        <v>-3.3581766933545455E-2</v>
      </c>
      <c r="R33" s="420">
        <f t="shared" si="17"/>
        <v>-0.30425299890948748</v>
      </c>
      <c r="S33" s="420">
        <f t="shared" si="18"/>
        <v>8.589346334034835E-2</v>
      </c>
      <c r="AL33" s="50">
        <f t="shared" si="2"/>
        <v>2017.7692307692312</v>
      </c>
      <c r="AO33" s="50">
        <f t="shared" si="3"/>
        <v>2017.9166666666649</v>
      </c>
      <c r="AP33" s="202">
        <f t="shared" si="6"/>
        <v>9.0789105307363116E-2</v>
      </c>
      <c r="AQ33" s="202">
        <f t="shared" si="6"/>
        <v>1.2992938620315047</v>
      </c>
      <c r="AW33" s="897">
        <v>2018</v>
      </c>
      <c r="AX33" s="483" t="s">
        <v>438</v>
      </c>
      <c r="AY33" s="389">
        <v>15974</v>
      </c>
      <c r="AZ33" s="390">
        <f>INDEX($BK$16:$BL$19,MATCH($AX33,$BK$16:$BK$19,0),2)</f>
        <v>130</v>
      </c>
      <c r="BA33" s="391">
        <f>AY33/2*AZ33*$BS$13/10^3</f>
        <v>3250.2340609528223</v>
      </c>
      <c r="BB33" s="392">
        <f>AY33</f>
        <v>15974</v>
      </c>
      <c r="BC33" s="392">
        <f>BA33</f>
        <v>3250.2340609528223</v>
      </c>
      <c r="BD33" s="942" t="str">
        <f>"Milli áranna "&amp; AW22&amp;" og "&amp; AW33</f>
        <v>Milli áranna 2017 og 2018</v>
      </c>
      <c r="BE33" s="415">
        <f t="shared" si="7"/>
        <v>-2.0060119011103612E-2</v>
      </c>
      <c r="BF33" s="415"/>
      <c r="BG33" s="415">
        <f t="shared" si="8"/>
        <v>-2.0060119011103494E-2</v>
      </c>
      <c r="BH33" s="416">
        <f t="shared" si="9"/>
        <v>-2.0060119011103612E-2</v>
      </c>
      <c r="BI33" s="416">
        <f t="shared" si="10"/>
        <v>-2.0060119011103494E-2</v>
      </c>
      <c r="BJ33" s="464"/>
      <c r="BK33" s="464"/>
      <c r="BL33" s="464"/>
      <c r="BM33" s="464"/>
      <c r="BN33" s="464"/>
      <c r="BO33" s="464"/>
      <c r="BP33" s="464"/>
      <c r="BQ33" s="464"/>
      <c r="BR33" s="464"/>
      <c r="BS33" s="464"/>
      <c r="BT33" s="464"/>
      <c r="BU33" s="464"/>
    </row>
    <row r="34" spans="1:73" ht="14.25" x14ac:dyDescent="0.65">
      <c r="A34" s="883"/>
      <c r="B34" s="396" t="s">
        <v>216</v>
      </c>
      <c r="C34" s="397">
        <v>30610</v>
      </c>
      <c r="D34" s="398">
        <v>4536</v>
      </c>
      <c r="E34" s="399">
        <v>63</v>
      </c>
      <c r="F34" s="398">
        <v>8147</v>
      </c>
      <c r="G34" s="400">
        <f>SUM(C24:C34)</f>
        <v>398242</v>
      </c>
      <c r="H34" s="400">
        <f>SUM(D24:D34)</f>
        <v>60423</v>
      </c>
      <c r="I34" s="400">
        <f>SUM(E24:E34)</f>
        <v>701</v>
      </c>
      <c r="J34" s="400">
        <f>SUM(F24:F34)</f>
        <v>110828</v>
      </c>
      <c r="K34" s="899"/>
      <c r="L34" s="417">
        <f t="shared" si="11"/>
        <v>5.0229877170109107E-2</v>
      </c>
      <c r="M34" s="418">
        <f t="shared" si="12"/>
        <v>0.11669128508124077</v>
      </c>
      <c r="N34" s="419">
        <f t="shared" si="13"/>
        <v>-5.9701492537313432E-2</v>
      </c>
      <c r="O34" s="420">
        <f t="shared" si="14"/>
        <v>6.4237183446571961E-3</v>
      </c>
      <c r="P34" s="420">
        <f t="shared" si="15"/>
        <v>1.5131045663334234E-2</v>
      </c>
      <c r="Q34" s="420">
        <f t="shared" si="16"/>
        <v>-2.3719119096476064E-2</v>
      </c>
      <c r="R34" s="420">
        <f t="shared" si="17"/>
        <v>-0.28760162601626016</v>
      </c>
      <c r="S34" s="420">
        <f t="shared" si="18"/>
        <v>7.9626707191146964E-2</v>
      </c>
      <c r="AL34" s="50">
        <f t="shared" si="2"/>
        <v>2017.8461538461543</v>
      </c>
      <c r="AO34" s="50">
        <f t="shared" si="3"/>
        <v>2017.9999999999982</v>
      </c>
      <c r="AP34" s="202">
        <f t="shared" ref="AP34:AQ45" si="19">L37</f>
        <v>6.0703001579778829E-2</v>
      </c>
      <c r="AQ34" s="202">
        <f t="shared" si="19"/>
        <v>0.53608247422680411</v>
      </c>
      <c r="AW34" s="883"/>
      <c r="AX34" s="484" t="s">
        <v>439</v>
      </c>
      <c r="AY34" s="397">
        <v>19403</v>
      </c>
      <c r="AZ34" s="398">
        <f>INDEX($BK$16:$BL$19,MATCH($AX34,$BK$16:$BK$19,0),2)</f>
        <v>110</v>
      </c>
      <c r="BA34" s="399">
        <f>AY34/2*AZ34*$BS$13/10^3</f>
        <v>3340.559208383545</v>
      </c>
      <c r="BB34" s="400">
        <f>SUM(AY33:AY34)</f>
        <v>35377</v>
      </c>
      <c r="BC34" s="400">
        <f>SUM(BA33:BA34)</f>
        <v>6590.7932693363673</v>
      </c>
      <c r="BD34" s="899"/>
      <c r="BE34" s="415">
        <f t="shared" si="7"/>
        <v>4.0059339525283795</v>
      </c>
      <c r="BF34" s="418"/>
      <c r="BG34" s="419">
        <f t="shared" si="8"/>
        <v>4.0059339525283795</v>
      </c>
      <c r="BH34" s="420">
        <f t="shared" si="9"/>
        <v>0.75333300292412153</v>
      </c>
      <c r="BI34" s="420">
        <f t="shared" si="10"/>
        <v>0.65427874397463759</v>
      </c>
      <c r="BJ34" s="464"/>
      <c r="BK34" s="464"/>
      <c r="BL34" s="464"/>
      <c r="BM34" s="464"/>
      <c r="BN34" s="464"/>
      <c r="BO34" s="464"/>
      <c r="BP34" s="464"/>
      <c r="BQ34" s="464"/>
      <c r="BR34" s="464"/>
      <c r="BS34" s="464"/>
      <c r="BT34" s="464"/>
      <c r="BU34" s="464"/>
    </row>
    <row r="35" spans="1:73" ht="15" thickBot="1" x14ac:dyDescent="0.8">
      <c r="A35" s="898"/>
      <c r="B35" s="404" t="s">
        <v>217</v>
      </c>
      <c r="C35" s="405">
        <v>27273</v>
      </c>
      <c r="D35" s="406">
        <v>4233</v>
      </c>
      <c r="E35" s="407">
        <v>80</v>
      </c>
      <c r="F35" s="408">
        <v>9177</v>
      </c>
      <c r="G35" s="400">
        <f>SUM(C24:C35)</f>
        <v>425515</v>
      </c>
      <c r="H35" s="400">
        <f>SUM(D24:D35)</f>
        <v>64656</v>
      </c>
      <c r="I35" s="400">
        <f>SUM(E24:E35)</f>
        <v>781</v>
      </c>
      <c r="J35" s="400">
        <f>SUM(F24:F35)</f>
        <v>120005</v>
      </c>
      <c r="K35" s="899"/>
      <c r="L35" s="421">
        <f t="shared" si="11"/>
        <v>9.0789105307363116E-2</v>
      </c>
      <c r="M35" s="422">
        <f t="shared" si="12"/>
        <v>1.2992938620315047</v>
      </c>
      <c r="N35" s="423">
        <f t="shared" si="13"/>
        <v>3.896103896103896E-2</v>
      </c>
      <c r="O35" s="424">
        <f t="shared" si="14"/>
        <v>1.0794140323824209E-2</v>
      </c>
      <c r="P35" s="424">
        <f t="shared" si="15"/>
        <v>1.9664085845260946E-2</v>
      </c>
      <c r="Q35" s="424">
        <f t="shared" si="16"/>
        <v>1.4498211259649783E-2</v>
      </c>
      <c r="R35" s="424">
        <f t="shared" si="17"/>
        <v>-0.26390197926484449</v>
      </c>
      <c r="S35" s="424">
        <f t="shared" si="18"/>
        <v>7.4033633751890662E-2</v>
      </c>
      <c r="AL35" s="50">
        <f t="shared" si="2"/>
        <v>2017.9230769230774</v>
      </c>
      <c r="AO35" s="50">
        <f t="shared" si="3"/>
        <v>2018.0833333333314</v>
      </c>
      <c r="AP35" s="202">
        <f t="shared" si="19"/>
        <v>-8.9979257563836637E-2</v>
      </c>
      <c r="AQ35" s="202">
        <f t="shared" si="19"/>
        <v>-0.45714991355890344</v>
      </c>
      <c r="AW35" s="883"/>
      <c r="AX35" s="484" t="s">
        <v>440</v>
      </c>
      <c r="AY35" s="397">
        <v>25632</v>
      </c>
      <c r="AZ35" s="458">
        <f>INDEX($BK$16:$BL$19,MATCH($AX35,$BK$16:$BK$19,0),2)</f>
        <v>3.5</v>
      </c>
      <c r="BA35" s="399">
        <f>AY35/2*AZ35*$BS$13/10^3</f>
        <v>140.41326678747174</v>
      </c>
      <c r="BB35" s="400">
        <f>SUM(AY33:AY35)</f>
        <v>61009</v>
      </c>
      <c r="BC35" s="400">
        <f>SUM(BA33:BA35)</f>
        <v>6731.2065361238392</v>
      </c>
      <c r="BD35" s="899"/>
      <c r="BE35" s="415">
        <f t="shared" si="7"/>
        <v>-0.38055535416515623</v>
      </c>
      <c r="BF35" s="418"/>
      <c r="BG35" s="419">
        <f t="shared" si="8"/>
        <v>-0.38055535416515623</v>
      </c>
      <c r="BH35" s="420">
        <f t="shared" si="9"/>
        <v>-8.8862174280330102E-3</v>
      </c>
      <c r="BI35" s="420">
        <f t="shared" si="10"/>
        <v>0.59857102314913535</v>
      </c>
      <c r="BJ35" s="464"/>
      <c r="BK35" s="464"/>
      <c r="BL35" s="464"/>
      <c r="BM35" s="464"/>
      <c r="BN35" s="464"/>
      <c r="BO35" s="464"/>
      <c r="BP35" s="464"/>
      <c r="BQ35" s="464"/>
      <c r="BR35" s="464"/>
      <c r="BS35" s="464"/>
      <c r="BT35" s="464"/>
      <c r="BU35" s="464"/>
    </row>
    <row r="36" spans="1:73" ht="15" thickBot="1" x14ac:dyDescent="0.8">
      <c r="A36" s="409" t="s">
        <v>21</v>
      </c>
      <c r="B36" s="425">
        <v>2017</v>
      </c>
      <c r="C36" s="411">
        <f>SUM(C24:C35)</f>
        <v>425515</v>
      </c>
      <c r="D36" s="411">
        <f>SUM(D24:D35)</f>
        <v>64656</v>
      </c>
      <c r="E36" s="411">
        <f>SUM(E24:E35)</f>
        <v>781</v>
      </c>
      <c r="F36" s="411">
        <f>SUM(F24:F35)</f>
        <v>120005</v>
      </c>
      <c r="G36" s="412">
        <f>G28</f>
        <v>156017</v>
      </c>
      <c r="H36" s="412">
        <f>H28</f>
        <v>24184</v>
      </c>
      <c r="I36" s="412">
        <f>I28</f>
        <v>309</v>
      </c>
      <c r="J36" s="412">
        <f>J28</f>
        <v>43136</v>
      </c>
      <c r="K36" s="900"/>
      <c r="L36" s="426">
        <f t="shared" si="11"/>
        <v>1.9664085845260946E-2</v>
      </c>
      <c r="M36" s="426">
        <f t="shared" si="12"/>
        <v>1.4498211259649783E-2</v>
      </c>
      <c r="N36" s="427">
        <f t="shared" si="13"/>
        <v>-0.26390197926484449</v>
      </c>
      <c r="O36" s="428">
        <f t="shared" si="14"/>
        <v>7.4033633751890662E-2</v>
      </c>
      <c r="P36" s="428">
        <f t="shared" si="15"/>
        <v>1.2610823370588159E-2</v>
      </c>
      <c r="Q36" s="428">
        <f t="shared" si="16"/>
        <v>-0.13896108519955852</v>
      </c>
      <c r="R36" s="428">
        <f t="shared" si="17"/>
        <v>-0.28472222222222221</v>
      </c>
      <c r="S36" s="428">
        <f t="shared" si="18"/>
        <v>3.7796222783591966E-2</v>
      </c>
      <c r="AL36" s="50">
        <f t="shared" si="2"/>
        <v>2018.0000000000005</v>
      </c>
      <c r="AO36" s="50">
        <f t="shared" si="3"/>
        <v>2018.1666666666647</v>
      </c>
      <c r="AP36" s="202">
        <f t="shared" si="19"/>
        <v>-0.21806279755157559</v>
      </c>
      <c r="AQ36" s="202">
        <f t="shared" si="19"/>
        <v>-0.46619935844124988</v>
      </c>
      <c r="AW36" s="883"/>
      <c r="AX36" s="484" t="s">
        <v>441</v>
      </c>
      <c r="AY36" s="397">
        <f>SUM(AY33:AY35)</f>
        <v>61009</v>
      </c>
      <c r="AZ36" s="398"/>
      <c r="BA36" s="399">
        <f>SUM(BA33:BA35)</f>
        <v>6731.2065361238392</v>
      </c>
      <c r="BB36" s="400">
        <f>SUM(AY33:AY35)</f>
        <v>61009</v>
      </c>
      <c r="BC36" s="400">
        <f>SUM(BA33:BA35)</f>
        <v>6731.2065361238392</v>
      </c>
      <c r="BD36" s="899"/>
      <c r="BE36" s="415">
        <f t="shared" si="7"/>
        <v>-8.8862174280330102E-3</v>
      </c>
      <c r="BF36" s="418"/>
      <c r="BG36" s="419">
        <f t="shared" si="8"/>
        <v>0.59857102314913535</v>
      </c>
      <c r="BH36" s="420">
        <f t="shared" si="9"/>
        <v>-8.8862174280330102E-3</v>
      </c>
      <c r="BI36" s="420">
        <f t="shared" si="10"/>
        <v>0.59857102314913535</v>
      </c>
      <c r="BJ36" s="464"/>
      <c r="BK36" s="464"/>
      <c r="BL36" s="464"/>
      <c r="BM36" s="464"/>
      <c r="BN36" s="464"/>
      <c r="BO36" s="464"/>
      <c r="BP36" s="464"/>
      <c r="BQ36" s="464"/>
      <c r="BR36" s="464"/>
      <c r="BS36" s="464"/>
      <c r="BT36" s="464"/>
      <c r="BU36" s="464"/>
    </row>
    <row r="37" spans="1:73" ht="14.25" customHeight="1" x14ac:dyDescent="0.65">
      <c r="A37" s="883">
        <v>2018</v>
      </c>
      <c r="B37" s="388" t="s">
        <v>191</v>
      </c>
      <c r="C37" s="389">
        <v>26857</v>
      </c>
      <c r="D37" s="390">
        <v>4470</v>
      </c>
      <c r="E37" s="391">
        <v>64</v>
      </c>
      <c r="F37" s="390">
        <v>10185</v>
      </c>
      <c r="G37" s="392">
        <f>C37</f>
        <v>26857</v>
      </c>
      <c r="H37" s="392">
        <f>D37</f>
        <v>4470</v>
      </c>
      <c r="I37" s="392">
        <f>E37</f>
        <v>64</v>
      </c>
      <c r="J37" s="392">
        <f>F37</f>
        <v>10185</v>
      </c>
      <c r="K37" s="885" t="s">
        <v>245</v>
      </c>
      <c r="L37" s="415">
        <f t="shared" si="11"/>
        <v>6.0703001579778829E-2</v>
      </c>
      <c r="M37" s="415">
        <f t="shared" si="12"/>
        <v>0.53608247422680411</v>
      </c>
      <c r="N37" s="415">
        <f t="shared" si="13"/>
        <v>0.25490196078431371</v>
      </c>
      <c r="O37" s="416">
        <f t="shared" si="14"/>
        <v>0.23754556500607532</v>
      </c>
      <c r="P37" s="416">
        <f t="shared" si="15"/>
        <v>6.0703001579778829E-2</v>
      </c>
      <c r="Q37" s="416">
        <f t="shared" si="16"/>
        <v>0.53608247422680411</v>
      </c>
      <c r="R37" s="416">
        <f t="shared" si="17"/>
        <v>0.25490196078431371</v>
      </c>
      <c r="S37" s="416">
        <f t="shared" si="18"/>
        <v>0.23754556500607532</v>
      </c>
      <c r="AL37" s="50">
        <f t="shared" si="2"/>
        <v>2018.0769230769235</v>
      </c>
      <c r="AO37" s="50">
        <f t="shared" si="3"/>
        <v>2018.249999999998</v>
      </c>
      <c r="AP37" s="202">
        <f t="shared" si="19"/>
        <v>-1.8122661460875225E-2</v>
      </c>
      <c r="AQ37" s="202">
        <f t="shared" si="19"/>
        <v>0.55207166853303469</v>
      </c>
      <c r="AW37" s="883"/>
      <c r="AX37" s="484" t="s">
        <v>438</v>
      </c>
      <c r="AY37" s="397">
        <v>1486</v>
      </c>
      <c r="AZ37" s="398">
        <f>INDEX($BK$16:$BL$19,MATCH($AX37,$BK$16:$BK$19,0),2)</f>
        <v>130</v>
      </c>
      <c r="BA37" s="399">
        <f>AY37/2*AZ37*$BS$13/10^3</f>
        <v>302.35681824063442</v>
      </c>
      <c r="BB37" s="400">
        <f>SUM(AY37)</f>
        <v>1486</v>
      </c>
      <c r="BC37" s="400">
        <f>SUM(BA37)</f>
        <v>302.35681824063442</v>
      </c>
      <c r="BD37" s="899"/>
      <c r="BE37" s="415">
        <f t="shared" si="7"/>
        <v>-2.8122956180510136E-2</v>
      </c>
      <c r="BF37" s="418"/>
      <c r="BG37" s="419">
        <f t="shared" si="8"/>
        <v>-2.8122956180509896E-2</v>
      </c>
      <c r="BH37" s="420">
        <f t="shared" si="9"/>
        <v>-2.8122956180510136E-2</v>
      </c>
      <c r="BI37" s="420">
        <f t="shared" si="10"/>
        <v>-2.8122956180509896E-2</v>
      </c>
      <c r="BJ37" s="464"/>
      <c r="BK37" s="464"/>
      <c r="BL37" s="464"/>
      <c r="BM37" s="464"/>
      <c r="BN37" s="464"/>
      <c r="BO37" s="464"/>
      <c r="BP37" s="464"/>
      <c r="BQ37" s="464"/>
      <c r="BR37" s="464"/>
      <c r="BS37" s="464"/>
      <c r="BT37" s="464"/>
      <c r="BU37" s="464"/>
    </row>
    <row r="38" spans="1:73" ht="14.25" x14ac:dyDescent="0.65">
      <c r="A38" s="883"/>
      <c r="B38" s="396" t="s">
        <v>195</v>
      </c>
      <c r="C38" s="397">
        <v>25446</v>
      </c>
      <c r="D38" s="398">
        <v>2198</v>
      </c>
      <c r="E38" s="399">
        <v>61</v>
      </c>
      <c r="F38" s="398">
        <v>8026</v>
      </c>
      <c r="G38" s="400">
        <f>SUM(C37:C38)</f>
        <v>52303</v>
      </c>
      <c r="H38" s="400">
        <f>SUM(D37:D38)</f>
        <v>6668</v>
      </c>
      <c r="I38" s="400">
        <f>SUM(E37:E38)</f>
        <v>125</v>
      </c>
      <c r="J38" s="400">
        <f>SUM(F37:F38)</f>
        <v>18211</v>
      </c>
      <c r="K38" s="886"/>
      <c r="L38" s="417">
        <f t="shared" si="11"/>
        <v>-8.9979257563836637E-2</v>
      </c>
      <c r="M38" s="418">
        <f t="shared" si="12"/>
        <v>-0.45714991355890344</v>
      </c>
      <c r="N38" s="419">
        <f t="shared" si="13"/>
        <v>7.0175438596491224E-2</v>
      </c>
      <c r="O38" s="420">
        <f t="shared" si="14"/>
        <v>7.0990125433680273E-2</v>
      </c>
      <c r="P38" s="420">
        <f t="shared" si="15"/>
        <v>-1.8373934912353139E-2</v>
      </c>
      <c r="Q38" s="420">
        <f t="shared" si="16"/>
        <v>-4.181635292427073E-2</v>
      </c>
      <c r="R38" s="420">
        <f t="shared" si="17"/>
        <v>0.15740740740740741</v>
      </c>
      <c r="S38" s="420">
        <f t="shared" si="18"/>
        <v>0.15816586110404476</v>
      </c>
      <c r="AL38" s="50">
        <f t="shared" si="2"/>
        <v>2018.1538461538466</v>
      </c>
      <c r="AO38" s="50">
        <f t="shared" si="3"/>
        <v>2018.3333333333312</v>
      </c>
      <c r="AP38" s="202">
        <f t="shared" si="19"/>
        <v>-6.3793854870342129E-2</v>
      </c>
      <c r="AQ38" s="202">
        <f t="shared" si="19"/>
        <v>-2.1199388846447668E-2</v>
      </c>
      <c r="AW38" s="883"/>
      <c r="AX38" s="484" t="s">
        <v>439</v>
      </c>
      <c r="AY38" s="397">
        <v>1695</v>
      </c>
      <c r="AZ38" s="398">
        <f>INDEX($BK$16:$BL$19,MATCH($AX38,$BK$16:$BK$19,0),2)</f>
        <v>110</v>
      </c>
      <c r="BA38" s="399">
        <f>AY38/2*AZ38*$BS$13/10^3</f>
        <v>291.82331898212175</v>
      </c>
      <c r="BB38" s="400">
        <f>SUM(AY37:AY38)</f>
        <v>3181</v>
      </c>
      <c r="BC38" s="400">
        <f>SUM(BA37:BA38)</f>
        <v>594.18013722275623</v>
      </c>
      <c r="BD38" s="899"/>
      <c r="BE38" s="415">
        <f t="shared" si="7"/>
        <v>7.8930617441120302E-2</v>
      </c>
      <c r="BF38" s="418"/>
      <c r="BG38" s="419">
        <f t="shared" si="8"/>
        <v>7.8930617441120149E-2</v>
      </c>
      <c r="BH38" s="420">
        <f t="shared" si="9"/>
        <v>2.6129032258064518E-2</v>
      </c>
      <c r="BI38" s="420">
        <f t="shared" si="10"/>
        <v>2.1664244577210889E-2</v>
      </c>
      <c r="BJ38" s="464"/>
      <c r="BK38" s="464"/>
      <c r="BL38" s="464"/>
      <c r="BM38" s="464"/>
      <c r="BN38" s="464"/>
      <c r="BO38" s="464"/>
      <c r="BP38" s="464"/>
      <c r="BQ38" s="464"/>
      <c r="BR38" s="464"/>
      <c r="BS38" s="464"/>
      <c r="BT38" s="464"/>
      <c r="BU38" s="464"/>
    </row>
    <row r="39" spans="1:73" ht="14.25" x14ac:dyDescent="0.65">
      <c r="A39" s="883"/>
      <c r="B39" s="396" t="s">
        <v>15</v>
      </c>
      <c r="C39" s="397">
        <v>27593</v>
      </c>
      <c r="D39" s="398">
        <v>4493</v>
      </c>
      <c r="E39" s="399">
        <v>60</v>
      </c>
      <c r="F39" s="398">
        <v>9262</v>
      </c>
      <c r="G39" s="400">
        <f>SUM(C37:C39)</f>
        <v>79896</v>
      </c>
      <c r="H39" s="400">
        <f>SUM(D37:D39)</f>
        <v>11161</v>
      </c>
      <c r="I39" s="400">
        <f>SUM(E37:E39)</f>
        <v>185</v>
      </c>
      <c r="J39" s="400">
        <f>SUM(F37:F39)</f>
        <v>27473</v>
      </c>
      <c r="K39" s="886"/>
      <c r="L39" s="417">
        <f t="shared" si="11"/>
        <v>-0.21806279755157559</v>
      </c>
      <c r="M39" s="418">
        <f t="shared" si="12"/>
        <v>-0.46619935844124988</v>
      </c>
      <c r="N39" s="419">
        <f t="shared" si="13"/>
        <v>-0.14285714285714285</v>
      </c>
      <c r="O39" s="420">
        <f t="shared" si="14"/>
        <v>4.1142086330935253E-2</v>
      </c>
      <c r="P39" s="420">
        <f t="shared" si="15"/>
        <v>-9.7933837642542626E-2</v>
      </c>
      <c r="Q39" s="420">
        <f t="shared" si="16"/>
        <v>-0.27412851196670135</v>
      </c>
      <c r="R39" s="420">
        <f t="shared" si="17"/>
        <v>3.9325842696629212E-2</v>
      </c>
      <c r="S39" s="420">
        <f t="shared" si="18"/>
        <v>0.11588139723801787</v>
      </c>
      <c r="AL39" s="50">
        <f t="shared" si="2"/>
        <v>2018.2307692307697</v>
      </c>
      <c r="AO39" s="50">
        <f t="shared" si="3"/>
        <v>2018.4166666666645</v>
      </c>
      <c r="AP39" s="202">
        <f t="shared" si="19"/>
        <v>-7.8042581758895183E-2</v>
      </c>
      <c r="AQ39" s="202">
        <f t="shared" si="19"/>
        <v>-0.2303335431088735</v>
      </c>
      <c r="AW39" s="883"/>
      <c r="AX39" s="484" t="s">
        <v>442</v>
      </c>
      <c r="AY39" s="397">
        <f>AY38+AY37</f>
        <v>3181</v>
      </c>
      <c r="AZ39" s="398"/>
      <c r="BA39" s="399">
        <f>SUM(BA37:BA38)</f>
        <v>594.18013722275623</v>
      </c>
      <c r="BB39" s="400">
        <f>SUM(AY39)</f>
        <v>3181</v>
      </c>
      <c r="BC39" s="400">
        <f>SUM(BA39)</f>
        <v>594.18013722275623</v>
      </c>
      <c r="BD39" s="899"/>
      <c r="BE39" s="415">
        <f t="shared" si="7"/>
        <v>2.6129032258064518E-2</v>
      </c>
      <c r="BF39" s="418"/>
      <c r="BG39" s="419">
        <f t="shared" si="8"/>
        <v>2.1664244577210889E-2</v>
      </c>
      <c r="BH39" s="420">
        <f t="shared" si="9"/>
        <v>2.6129032258064518E-2</v>
      </c>
      <c r="BI39" s="420">
        <f t="shared" si="10"/>
        <v>2.1664244577210889E-2</v>
      </c>
      <c r="BJ39" s="464"/>
      <c r="BK39" s="464"/>
      <c r="BL39" s="464"/>
      <c r="BM39" s="464"/>
      <c r="BN39" s="464"/>
      <c r="BO39" s="464"/>
      <c r="BP39" s="464"/>
      <c r="BQ39" s="464"/>
      <c r="BR39" s="464"/>
      <c r="BS39" s="464"/>
      <c r="BT39" s="464"/>
      <c r="BU39" s="464"/>
    </row>
    <row r="40" spans="1:73" ht="14.25" x14ac:dyDescent="0.65">
      <c r="A40" s="883"/>
      <c r="B40" s="396" t="s">
        <v>16</v>
      </c>
      <c r="C40" s="397">
        <v>30178</v>
      </c>
      <c r="D40" s="398">
        <v>5544</v>
      </c>
      <c r="E40" s="399">
        <v>55.7</v>
      </c>
      <c r="F40" s="398">
        <v>9359</v>
      </c>
      <c r="G40" s="400">
        <f>SUM(C37:C40)</f>
        <v>110074</v>
      </c>
      <c r="H40" s="400">
        <f>SUM(D37:D40)</f>
        <v>16705</v>
      </c>
      <c r="I40" s="400">
        <f>SUM(E37:E40)</f>
        <v>240.7</v>
      </c>
      <c r="J40" s="400">
        <f>SUM(F37:F40)</f>
        <v>36832</v>
      </c>
      <c r="K40" s="886"/>
      <c r="L40" s="417">
        <f t="shared" si="11"/>
        <v>-1.8122661460875225E-2</v>
      </c>
      <c r="M40" s="418">
        <f t="shared" si="12"/>
        <v>0.55207166853303469</v>
      </c>
      <c r="N40" s="419">
        <f t="shared" si="13"/>
        <v>-0.12968749999999996</v>
      </c>
      <c r="O40" s="420">
        <f t="shared" si="14"/>
        <v>6.4490445859872611E-2</v>
      </c>
      <c r="P40" s="420">
        <f t="shared" si="15"/>
        <v>-7.7373119316038727E-2</v>
      </c>
      <c r="Q40" s="420">
        <f t="shared" si="16"/>
        <v>-0.1183766096685666</v>
      </c>
      <c r="R40" s="420">
        <f t="shared" si="17"/>
        <v>-5.3719008264463278E-3</v>
      </c>
      <c r="S40" s="420">
        <f t="shared" si="18"/>
        <v>0.10235843409553454</v>
      </c>
      <c r="AL40" s="50">
        <f t="shared" si="2"/>
        <v>2018.3076923076928</v>
      </c>
      <c r="AO40" s="50">
        <f t="shared" si="3"/>
        <v>2018.4999999999977</v>
      </c>
      <c r="AP40" s="202">
        <f t="shared" si="19"/>
        <v>-4.927047276869824E-2</v>
      </c>
      <c r="AQ40" s="202">
        <f t="shared" si="19"/>
        <v>2.6466696074106751E-3</v>
      </c>
      <c r="AW40" s="883"/>
      <c r="AX40" s="485" t="s">
        <v>438</v>
      </c>
      <c r="AY40" s="486">
        <f>AY33+AY37</f>
        <v>17460</v>
      </c>
      <c r="AZ40" s="398">
        <f>INDEX($BK$16:$BL$19,MATCH($AX40,$BK$16:$BK$19,0),2)</f>
        <v>130</v>
      </c>
      <c r="BA40" s="399">
        <f>AY40/2*AZ40*$BS$13/10^3</f>
        <v>3552.5908791934562</v>
      </c>
      <c r="BB40" s="400">
        <f>SUM(AY40)</f>
        <v>17460</v>
      </c>
      <c r="BC40" s="400">
        <f>SUM(BA40)</f>
        <v>3552.5908791934562</v>
      </c>
      <c r="BD40" s="899"/>
      <c r="BE40" s="415">
        <f t="shared" si="7"/>
        <v>-2.0751542344363431E-2</v>
      </c>
      <c r="BF40" s="418"/>
      <c r="BG40" s="419">
        <f t="shared" si="8"/>
        <v>-2.0751542344363522E-2</v>
      </c>
      <c r="BH40" s="420">
        <f t="shared" si="9"/>
        <v>-2.0751542344363431E-2</v>
      </c>
      <c r="BI40" s="420">
        <f t="shared" si="10"/>
        <v>-2.0751542344363522E-2</v>
      </c>
      <c r="BJ40" s="464"/>
      <c r="BK40" s="464"/>
      <c r="BL40" s="464"/>
      <c r="BM40" s="464"/>
      <c r="BN40" s="464"/>
      <c r="BO40" s="464"/>
      <c r="BP40" s="464"/>
      <c r="BQ40" s="464"/>
      <c r="BR40" s="464"/>
      <c r="BS40" s="464"/>
      <c r="BT40" s="464"/>
      <c r="BU40" s="464"/>
    </row>
    <row r="41" spans="1:73" ht="14.25" x14ac:dyDescent="0.65">
      <c r="A41" s="883"/>
      <c r="B41" s="396" t="s">
        <v>17</v>
      </c>
      <c r="C41" s="397">
        <v>34370</v>
      </c>
      <c r="D41" s="398">
        <v>5125</v>
      </c>
      <c r="E41" s="399">
        <v>64.7</v>
      </c>
      <c r="F41" s="398">
        <v>11752</v>
      </c>
      <c r="G41" s="400">
        <f>SUM(C37:C41)</f>
        <v>144444</v>
      </c>
      <c r="H41" s="400">
        <f>SUM(D37:D41)</f>
        <v>21830</v>
      </c>
      <c r="I41" s="400">
        <f>SUM(E37:E41)</f>
        <v>305.39999999999998</v>
      </c>
      <c r="J41" s="400">
        <f>SUM(F37:F41)</f>
        <v>48584</v>
      </c>
      <c r="K41" s="886"/>
      <c r="L41" s="417">
        <f t="shared" si="11"/>
        <v>-6.3793854870342129E-2</v>
      </c>
      <c r="M41" s="418">
        <f t="shared" si="12"/>
        <v>-2.1199388846447668E-2</v>
      </c>
      <c r="N41" s="419">
        <f t="shared" si="13"/>
        <v>-3.4328358208955183E-2</v>
      </c>
      <c r="O41" s="420">
        <f t="shared" si="14"/>
        <v>0.20855614973262032</v>
      </c>
      <c r="P41" s="420">
        <f t="shared" si="15"/>
        <v>-7.4177813956171443E-2</v>
      </c>
      <c r="Q41" s="420">
        <f t="shared" si="16"/>
        <v>-9.7337082368508104E-2</v>
      </c>
      <c r="R41" s="420">
        <f t="shared" si="17"/>
        <v>-1.1650485436893277E-2</v>
      </c>
      <c r="S41" s="420">
        <f t="shared" si="18"/>
        <v>0.12629821958456974</v>
      </c>
      <c r="AL41" s="50">
        <f t="shared" si="2"/>
        <v>2018.3846153846159</v>
      </c>
      <c r="AO41" s="50">
        <f t="shared" si="3"/>
        <v>2018.583333333331</v>
      </c>
      <c r="AP41" s="202">
        <f t="shared" si="19"/>
        <v>-3.6899283447855598E-2</v>
      </c>
      <c r="AQ41" s="202">
        <f t="shared" si="19"/>
        <v>0.25705329153605017</v>
      </c>
      <c r="AW41" s="883"/>
      <c r="AX41" s="485" t="s">
        <v>439</v>
      </c>
      <c r="AY41" s="486">
        <f>AY34+AY38</f>
        <v>21098</v>
      </c>
      <c r="AZ41" s="398">
        <f>INDEX($BK$16:$BL$19,MATCH($AX41,$BK$16:$BK$19,0),2)</f>
        <v>110</v>
      </c>
      <c r="BA41" s="399">
        <f>AY41/2*AZ41*$BS$13/10^3</f>
        <v>3632.3825273656662</v>
      </c>
      <c r="BB41" s="400">
        <f>SUM(AY40:AY41)</f>
        <v>38558</v>
      </c>
      <c r="BC41" s="400">
        <f>SUM(BA40:BA41)</f>
        <v>7184.9734065591219</v>
      </c>
      <c r="BD41" s="899"/>
      <c r="BE41" s="415">
        <f t="shared" si="7"/>
        <v>2.8733247659261978</v>
      </c>
      <c r="BF41" s="418"/>
      <c r="BG41" s="419">
        <f>(BA41-BA30)/BA30</f>
        <v>2.8733247659261973</v>
      </c>
      <c r="BH41" s="420">
        <f t="shared" si="9"/>
        <v>0.65648494221763976</v>
      </c>
      <c r="BI41" s="420">
        <f t="shared" si="10"/>
        <v>0.57369552324764217</v>
      </c>
      <c r="BJ41" s="464"/>
      <c r="BK41" s="464"/>
      <c r="BL41" s="464"/>
      <c r="BM41" s="464"/>
      <c r="BN41" s="464"/>
      <c r="BO41" s="464"/>
      <c r="BP41" s="464"/>
      <c r="BQ41" s="464"/>
      <c r="BR41" s="464"/>
      <c r="BS41" s="464"/>
      <c r="BT41" s="464"/>
      <c r="BU41" s="464"/>
    </row>
    <row r="42" spans="1:73" ht="15" thickBot="1" x14ac:dyDescent="0.8">
      <c r="A42" s="883"/>
      <c r="B42" s="396" t="s">
        <v>18</v>
      </c>
      <c r="C42" s="397">
        <v>38453</v>
      </c>
      <c r="D42" s="398">
        <v>6115</v>
      </c>
      <c r="E42" s="399">
        <v>68.5</v>
      </c>
      <c r="F42" s="398">
        <v>11466</v>
      </c>
      <c r="G42" s="400">
        <f>SUM(C37:C42)</f>
        <v>182897</v>
      </c>
      <c r="H42" s="400">
        <f>SUM(D37:D42)</f>
        <v>27945</v>
      </c>
      <c r="I42" s="400">
        <f>SUM(E37:E42)</f>
        <v>373.9</v>
      </c>
      <c r="J42" s="400">
        <f>SUM(F37:F42)</f>
        <v>60050</v>
      </c>
      <c r="K42" s="886"/>
      <c r="L42" s="417">
        <f t="shared" si="11"/>
        <v>-7.8042581758895183E-2</v>
      </c>
      <c r="M42" s="418">
        <f t="shared" si="12"/>
        <v>-0.2303335431088735</v>
      </c>
      <c r="N42" s="419">
        <f t="shared" si="13"/>
        <v>2.2388059701492536E-2</v>
      </c>
      <c r="O42" s="420">
        <f t="shared" si="14"/>
        <v>-4.2505219206680586E-2</v>
      </c>
      <c r="P42" s="420">
        <f t="shared" si="15"/>
        <v>-7.499304589707928E-2</v>
      </c>
      <c r="Q42" s="420">
        <f t="shared" si="16"/>
        <v>-0.130225030346416</v>
      </c>
      <c r="R42" s="420">
        <f t="shared" si="17"/>
        <v>-5.5851063829787835E-3</v>
      </c>
      <c r="S42" s="420">
        <f t="shared" si="18"/>
        <v>8.9619132296637691E-2</v>
      </c>
      <c r="AL42" s="50">
        <f t="shared" si="2"/>
        <v>2018.461538461539</v>
      </c>
      <c r="AO42" s="50">
        <f t="shared" si="3"/>
        <v>2018.6666666666642</v>
      </c>
      <c r="AP42" s="202">
        <f t="shared" si="19"/>
        <v>-8.2470119521912355E-2</v>
      </c>
      <c r="AQ42" s="202">
        <f t="shared" si="19"/>
        <v>6.2089116143170198E-2</v>
      </c>
      <c r="AW42" s="884"/>
      <c r="AX42" s="485" t="s">
        <v>440</v>
      </c>
      <c r="AY42" s="486">
        <f>AY35</f>
        <v>25632</v>
      </c>
      <c r="AZ42" s="458">
        <f>INDEX($BK$16:$BL$19,MATCH($AX42,$BK$16:$BK$19,0),2)</f>
        <v>3.5</v>
      </c>
      <c r="BA42" s="399">
        <f>AY42/2*AZ42*$BS$13/10^3</f>
        <v>140.41326678747174</v>
      </c>
      <c r="BB42" s="400">
        <f>SUM(AY40:AY42)</f>
        <v>64190</v>
      </c>
      <c r="BC42" s="400">
        <f>SUM(BA40:BA42)</f>
        <v>7325.3866733465939</v>
      </c>
      <c r="BD42" s="899"/>
      <c r="BE42" s="415">
        <f t="shared" si="7"/>
        <v>-0.38055535416515623</v>
      </c>
      <c r="BF42" s="418"/>
      <c r="BG42" s="419">
        <f t="shared" si="8"/>
        <v>-0.38055535416515623</v>
      </c>
      <c r="BH42" s="420">
        <f t="shared" si="9"/>
        <v>-7.2073744122741895E-3</v>
      </c>
      <c r="BI42" s="420">
        <f t="shared" si="10"/>
        <v>0.52855983211712076</v>
      </c>
      <c r="BJ42" s="464"/>
      <c r="BK42" s="464"/>
      <c r="BL42" s="464"/>
      <c r="BM42" s="464"/>
      <c r="BN42" s="464"/>
      <c r="BO42" s="464"/>
      <c r="BP42" s="464"/>
      <c r="BQ42" s="464"/>
      <c r="BR42" s="464"/>
      <c r="BS42" s="464"/>
      <c r="BT42" s="464"/>
      <c r="BU42" s="464"/>
    </row>
    <row r="43" spans="1:73" ht="15" thickBot="1" x14ac:dyDescent="0.8">
      <c r="A43" s="883"/>
      <c r="B43" s="396" t="s">
        <v>19</v>
      </c>
      <c r="C43" s="397">
        <v>43397</v>
      </c>
      <c r="D43" s="398">
        <v>6819</v>
      </c>
      <c r="E43" s="399">
        <v>68.8</v>
      </c>
      <c r="F43" s="398">
        <v>12533</v>
      </c>
      <c r="G43" s="400">
        <f>SUM(C37:C43)</f>
        <v>226294</v>
      </c>
      <c r="H43" s="400">
        <f>SUM(D37:D43)</f>
        <v>34764</v>
      </c>
      <c r="I43" s="400">
        <f>SUM(E37:E43)</f>
        <v>442.7</v>
      </c>
      <c r="J43" s="400">
        <f>SUM(F37:F43)</f>
        <v>72583</v>
      </c>
      <c r="K43" s="886"/>
      <c r="L43" s="417">
        <f t="shared" si="11"/>
        <v>-4.927047276869824E-2</v>
      </c>
      <c r="M43" s="418">
        <f t="shared" si="12"/>
        <v>2.6466696074106751E-3</v>
      </c>
      <c r="N43" s="419">
        <f t="shared" si="13"/>
        <v>2.6865671641791003E-2</v>
      </c>
      <c r="O43" s="420">
        <f t="shared" si="14"/>
        <v>9.6672842987190841E-3</v>
      </c>
      <c r="P43" s="420">
        <f t="shared" si="15"/>
        <v>-7.0168590341495085E-2</v>
      </c>
      <c r="Q43" s="420">
        <f t="shared" si="16"/>
        <v>-0.10701258669406627</v>
      </c>
      <c r="R43" s="420">
        <f t="shared" si="17"/>
        <v>-6.7720090293456293E-4</v>
      </c>
      <c r="S43" s="420">
        <f t="shared" si="18"/>
        <v>7.4921509389254196E-2</v>
      </c>
      <c r="AL43" s="50">
        <f t="shared" ref="AL43:AL73" si="20">AL42+$AL$2</f>
        <v>2018.5384615384621</v>
      </c>
      <c r="AO43" s="50">
        <f t="shared" si="3"/>
        <v>2018.7499999999975</v>
      </c>
      <c r="AP43" s="202">
        <f t="shared" si="19"/>
        <v>-4.4944127957931637E-2</v>
      </c>
      <c r="AQ43" s="202">
        <f t="shared" si="19"/>
        <v>-0.1236381644106966</v>
      </c>
      <c r="AW43" s="409" t="s">
        <v>21</v>
      </c>
      <c r="AX43" s="425">
        <f>AW33</f>
        <v>2018</v>
      </c>
      <c r="AY43" s="411">
        <f>SUM(AY40:AY42)</f>
        <v>64190</v>
      </c>
      <c r="AZ43" s="411"/>
      <c r="BA43" s="411">
        <f>SUM(BA40:BA42)</f>
        <v>7325.3866733465939</v>
      </c>
      <c r="BB43" s="412">
        <f>BB42</f>
        <v>64190</v>
      </c>
      <c r="BC43" s="412">
        <f>BC42</f>
        <v>7325.3866733465939</v>
      </c>
      <c r="BD43" s="900"/>
      <c r="BE43" s="426">
        <f t="shared" si="7"/>
        <v>-7.2073744122741895E-3</v>
      </c>
      <c r="BF43" s="426"/>
      <c r="BG43" s="427">
        <f t="shared" si="8"/>
        <v>0.52855983211712076</v>
      </c>
      <c r="BH43" s="428">
        <f t="shared" si="9"/>
        <v>-7.2073744122741895E-3</v>
      </c>
      <c r="BI43" s="428">
        <f t="shared" si="10"/>
        <v>0.52855983211712076</v>
      </c>
      <c r="BJ43" s="464"/>
      <c r="BK43" s="464"/>
      <c r="BL43" s="464"/>
      <c r="BM43" s="464"/>
      <c r="BN43" s="464"/>
      <c r="BO43" s="464"/>
      <c r="BP43" s="464"/>
      <c r="BQ43" s="464"/>
      <c r="BR43" s="464"/>
      <c r="BS43" s="464"/>
      <c r="BT43" s="464"/>
      <c r="BU43" s="464"/>
    </row>
    <row r="44" spans="1:73" ht="14.25" x14ac:dyDescent="0.65">
      <c r="A44" s="883"/>
      <c r="B44" s="396" t="s">
        <v>20</v>
      </c>
      <c r="C44" s="397">
        <v>45833</v>
      </c>
      <c r="D44" s="398">
        <v>6817</v>
      </c>
      <c r="E44" s="399">
        <v>79.5</v>
      </c>
      <c r="F44" s="398">
        <v>11880</v>
      </c>
      <c r="G44" s="400">
        <f>SUM(C37:C44)</f>
        <v>272127</v>
      </c>
      <c r="H44" s="400">
        <f>SUM(D37:D44)</f>
        <v>41581</v>
      </c>
      <c r="I44" s="400">
        <f>SUM(E37:E44)</f>
        <v>522.20000000000005</v>
      </c>
      <c r="J44" s="400">
        <f>SUM(F37:F44)</f>
        <v>84463</v>
      </c>
      <c r="K44" s="886"/>
      <c r="L44" s="417">
        <f t="shared" si="11"/>
        <v>-3.6899283447855598E-2</v>
      </c>
      <c r="M44" s="418">
        <f t="shared" si="12"/>
        <v>0.25705329153605017</v>
      </c>
      <c r="N44" s="419">
        <f t="shared" si="13"/>
        <v>0.18656716417910449</v>
      </c>
      <c r="O44" s="420">
        <f t="shared" si="14"/>
        <v>-3.9145907473309607E-2</v>
      </c>
      <c r="P44" s="420">
        <f t="shared" si="15"/>
        <v>-6.4727110255705253E-2</v>
      </c>
      <c r="Q44" s="420">
        <f t="shared" si="16"/>
        <v>-6.2498590850675266E-2</v>
      </c>
      <c r="R44" s="420">
        <f t="shared" si="17"/>
        <v>2.3921568627451071E-2</v>
      </c>
      <c r="S44" s="420">
        <f t="shared" si="18"/>
        <v>5.7267674744642498E-2</v>
      </c>
      <c r="AL44" s="50">
        <f t="shared" si="20"/>
        <v>2018.6153846153852</v>
      </c>
      <c r="AO44" s="50">
        <f t="shared" si="3"/>
        <v>2018.8333333333308</v>
      </c>
      <c r="AP44" s="202">
        <f t="shared" si="19"/>
        <v>-0.12113688337144723</v>
      </c>
      <c r="AQ44" s="202">
        <f t="shared" si="19"/>
        <v>0.1917989417989418</v>
      </c>
      <c r="AW44" s="897">
        <v>2019</v>
      </c>
      <c r="AX44" s="483" t="s">
        <v>438</v>
      </c>
      <c r="AY44" s="389">
        <v>14893</v>
      </c>
      <c r="AZ44" s="390">
        <f>INDEX($BK$16:$BL$19,MATCH($AX44,$BK$16:$BK$19,0),2)</f>
        <v>130</v>
      </c>
      <c r="BA44" s="391">
        <f>AY44/2*AZ44*$BS$13/10^3</f>
        <v>3030.2827012501803</v>
      </c>
      <c r="BB44" s="392">
        <f>AY44</f>
        <v>14893</v>
      </c>
      <c r="BC44" s="392">
        <f>BA44</f>
        <v>3030.2827012501803</v>
      </c>
      <c r="BD44" s="942" t="str">
        <f>"Milli áranna "&amp; AW33&amp;" og "&amp; AW44</f>
        <v>Milli áranna 2018 og 2019</v>
      </c>
      <c r="BE44" s="415">
        <f t="shared" si="7"/>
        <v>-6.7672467760110183E-2</v>
      </c>
      <c r="BF44" s="415"/>
      <c r="BG44" s="415">
        <f t="shared" si="8"/>
        <v>-6.7672467760110253E-2</v>
      </c>
      <c r="BH44" s="416">
        <f t="shared" si="9"/>
        <v>-6.7672467760110183E-2</v>
      </c>
      <c r="BI44" s="416">
        <f t="shared" si="10"/>
        <v>-6.7672467760110253E-2</v>
      </c>
      <c r="BJ44" s="464"/>
      <c r="BK44" s="464"/>
      <c r="BL44" s="464"/>
      <c r="BM44" s="464"/>
      <c r="BN44" s="464"/>
      <c r="BO44" s="464"/>
      <c r="BP44" s="464"/>
      <c r="BQ44" s="464"/>
      <c r="BR44" s="464"/>
      <c r="BS44" s="464"/>
      <c r="BT44" s="464"/>
      <c r="BU44" s="464"/>
    </row>
    <row r="45" spans="1:73" ht="14.25" x14ac:dyDescent="0.65">
      <c r="A45" s="883"/>
      <c r="B45" s="396" t="s">
        <v>211</v>
      </c>
      <c r="C45" s="397">
        <v>36848</v>
      </c>
      <c r="D45" s="398">
        <v>5816</v>
      </c>
      <c r="E45" s="399">
        <v>60.3</v>
      </c>
      <c r="F45" s="398">
        <v>11189</v>
      </c>
      <c r="G45" s="400">
        <f>SUM(C37:C45)</f>
        <v>308975</v>
      </c>
      <c r="H45" s="400">
        <f>SUM(D37:D45)</f>
        <v>47397</v>
      </c>
      <c r="I45" s="400">
        <f>SUM(E37:E45)</f>
        <v>582.5</v>
      </c>
      <c r="J45" s="400">
        <f>SUM(F37:F45)</f>
        <v>95652</v>
      </c>
      <c r="K45" s="886"/>
      <c r="L45" s="417">
        <f t="shared" si="11"/>
        <v>-8.2470119521912355E-2</v>
      </c>
      <c r="M45" s="418">
        <f t="shared" si="12"/>
        <v>6.2089116143170198E-2</v>
      </c>
      <c r="N45" s="419">
        <f t="shared" si="13"/>
        <v>-0.16250000000000003</v>
      </c>
      <c r="O45" s="420">
        <f t="shared" si="14"/>
        <v>-6.5168351574901834E-2</v>
      </c>
      <c r="P45" s="420">
        <f t="shared" si="15"/>
        <v>-6.6879077071756457E-2</v>
      </c>
      <c r="Q45" s="420">
        <f t="shared" si="16"/>
        <v>-4.8806919665255175E-2</v>
      </c>
      <c r="R45" s="420">
        <f t="shared" si="17"/>
        <v>8.5910652920962198E-4</v>
      </c>
      <c r="S45" s="420">
        <f t="shared" si="18"/>
        <v>4.1314216662856396E-2</v>
      </c>
      <c r="AL45" s="50">
        <f t="shared" si="20"/>
        <v>2018.6923076923083</v>
      </c>
      <c r="AO45" s="50">
        <f t="shared" si="3"/>
        <v>2018.916666666664</v>
      </c>
      <c r="AP45" s="202">
        <f t="shared" si="19"/>
        <v>-0.13111868881311187</v>
      </c>
      <c r="AQ45" s="202">
        <f t="shared" si="19"/>
        <v>-0.26576895818568391</v>
      </c>
      <c r="AW45" s="883"/>
      <c r="AX45" s="484" t="s">
        <v>439</v>
      </c>
      <c r="AY45" s="397">
        <v>18812</v>
      </c>
      <c r="AZ45" s="398">
        <f>INDEX($BK$16:$BL$19,MATCH($AX45,$BK$16:$BK$19,0),2)</f>
        <v>110</v>
      </c>
      <c r="BA45" s="399">
        <f>AY45/2*AZ45*$BS$13/10^3</f>
        <v>3238.8084228269468</v>
      </c>
      <c r="BB45" s="400">
        <f>SUM(AY44:AY45)</f>
        <v>33705</v>
      </c>
      <c r="BC45" s="400">
        <f>SUM(BA44:BA45)</f>
        <v>6269.0911240771275</v>
      </c>
      <c r="BD45" s="899"/>
      <c r="BE45" s="415">
        <f t="shared" si="7"/>
        <v>-3.0459207339071277E-2</v>
      </c>
      <c r="BF45" s="418"/>
      <c r="BG45" s="419">
        <f t="shared" si="8"/>
        <v>-3.0459207339071277E-2</v>
      </c>
      <c r="BH45" s="420">
        <f t="shared" si="9"/>
        <v>-4.7262345591768666E-2</v>
      </c>
      <c r="BI45" s="420">
        <f t="shared" si="10"/>
        <v>-4.8810838409385021E-2</v>
      </c>
      <c r="BJ45" s="464"/>
      <c r="BK45" s="464"/>
      <c r="BL45" s="464"/>
      <c r="BM45" s="464"/>
      <c r="BN45" s="464"/>
      <c r="BO45" s="464"/>
      <c r="BP45" s="464"/>
      <c r="BQ45" s="464"/>
      <c r="BR45" s="464"/>
      <c r="BS45" s="464"/>
      <c r="BT45" s="464"/>
      <c r="BU45" s="464"/>
    </row>
    <row r="46" spans="1:73" ht="14.25" x14ac:dyDescent="0.65">
      <c r="A46" s="883"/>
      <c r="B46" s="396" t="s">
        <v>213</v>
      </c>
      <c r="C46" s="397">
        <v>34871</v>
      </c>
      <c r="D46" s="398">
        <v>5309</v>
      </c>
      <c r="E46" s="399">
        <v>70</v>
      </c>
      <c r="F46" s="398">
        <v>11016</v>
      </c>
      <c r="G46" s="400">
        <f>SUM(C37:C46)</f>
        <v>343846</v>
      </c>
      <c r="H46" s="400">
        <f>SUM(D37:D46)</f>
        <v>52706</v>
      </c>
      <c r="I46" s="400">
        <f>SUM(E37:E46)</f>
        <v>652.5</v>
      </c>
      <c r="J46" s="400">
        <f>SUM(F37:F46)</f>
        <v>106668</v>
      </c>
      <c r="K46" s="886"/>
      <c r="L46" s="417">
        <f t="shared" si="11"/>
        <v>-4.4944127957931637E-2</v>
      </c>
      <c r="M46" s="418">
        <f t="shared" si="12"/>
        <v>-0.1236381644106966</v>
      </c>
      <c r="N46" s="419">
        <f t="shared" si="13"/>
        <v>0.25</v>
      </c>
      <c r="O46" s="420">
        <f t="shared" si="14"/>
        <v>1.7738359201773836E-2</v>
      </c>
      <c r="P46" s="420">
        <f t="shared" si="15"/>
        <v>-6.4700570135352742E-2</v>
      </c>
      <c r="Q46" s="420">
        <f t="shared" si="16"/>
        <v>-5.6918424678368849E-2</v>
      </c>
      <c r="R46" s="420">
        <f t="shared" si="17"/>
        <v>2.2727272727272728E-2</v>
      </c>
      <c r="S46" s="420">
        <f t="shared" si="18"/>
        <v>3.882899465334385E-2</v>
      </c>
      <c r="AL46" s="50">
        <f t="shared" si="20"/>
        <v>2018.7692307692314</v>
      </c>
      <c r="AO46" s="50">
        <f t="shared" si="3"/>
        <v>2018.9999999999973</v>
      </c>
      <c r="AP46" s="202">
        <f t="shared" ref="AP46:AQ57" si="21">L50</f>
        <v>-0.12153256134341141</v>
      </c>
      <c r="AQ46" s="202">
        <f t="shared" si="21"/>
        <v>-2.2371364653243847E-3</v>
      </c>
      <c r="AW46" s="883"/>
      <c r="AX46" s="484" t="s">
        <v>440</v>
      </c>
      <c r="AY46" s="397">
        <v>23058</v>
      </c>
      <c r="AZ46" s="458">
        <f>INDEX($BK$16:$BL$19,MATCH($AX46,$BK$16:$BK$19,0),2)</f>
        <v>3.5</v>
      </c>
      <c r="BA46" s="399">
        <f>AY46/2*AZ46*$BS$13/10^3</f>
        <v>126.31277721541525</v>
      </c>
      <c r="BB46" s="400">
        <f>SUM(AY44:AY46)</f>
        <v>56763</v>
      </c>
      <c r="BC46" s="400">
        <f>SUM(BA44:BA46)</f>
        <v>6395.4039012925423</v>
      </c>
      <c r="BD46" s="899"/>
      <c r="BE46" s="415">
        <f t="shared" si="7"/>
        <v>-0.10042134831460674</v>
      </c>
      <c r="BF46" s="418"/>
      <c r="BG46" s="419">
        <f t="shared" si="8"/>
        <v>-0.10042134831460665</v>
      </c>
      <c r="BH46" s="420">
        <f t="shared" si="9"/>
        <v>-6.959628907210412E-2</v>
      </c>
      <c r="BI46" s="420">
        <f t="shared" si="10"/>
        <v>-4.9887435934281799E-2</v>
      </c>
      <c r="BJ46" s="464"/>
      <c r="BK46" s="464"/>
      <c r="BL46" s="464"/>
      <c r="BM46" s="464"/>
      <c r="BN46" s="464"/>
      <c r="BO46" s="464"/>
      <c r="BP46" s="464"/>
      <c r="BQ46" s="464"/>
      <c r="BR46" s="464"/>
      <c r="BS46" s="464"/>
      <c r="BT46" s="464"/>
      <c r="BU46" s="464"/>
    </row>
    <row r="47" spans="1:73" ht="14.25" x14ac:dyDescent="0.65">
      <c r="A47" s="883"/>
      <c r="B47" s="396" t="s">
        <v>216</v>
      </c>
      <c r="C47" s="397">
        <v>26902</v>
      </c>
      <c r="D47" s="398">
        <v>5406</v>
      </c>
      <c r="E47" s="399">
        <v>47</v>
      </c>
      <c r="F47" s="398">
        <v>9102</v>
      </c>
      <c r="G47" s="400">
        <f>SUM(C37:C47)</f>
        <v>370748</v>
      </c>
      <c r="H47" s="400">
        <f>SUM(D37:D47)</f>
        <v>58112</v>
      </c>
      <c r="I47" s="400">
        <f>SUM(E37:E47)</f>
        <v>699.5</v>
      </c>
      <c r="J47" s="400">
        <f>SUM(F37:F47)</f>
        <v>115770</v>
      </c>
      <c r="K47" s="886"/>
      <c r="L47" s="417">
        <f t="shared" si="11"/>
        <v>-0.12113688337144723</v>
      </c>
      <c r="M47" s="418">
        <f t="shared" si="12"/>
        <v>0.1917989417989418</v>
      </c>
      <c r="N47" s="419">
        <f t="shared" si="13"/>
        <v>-0.25396825396825395</v>
      </c>
      <c r="O47" s="420">
        <f t="shared" si="14"/>
        <v>0.11722106296796367</v>
      </c>
      <c r="P47" s="420">
        <f t="shared" si="15"/>
        <v>-6.9038423872921487E-2</v>
      </c>
      <c r="Q47" s="420">
        <f t="shared" si="16"/>
        <v>-3.8247025139433656E-2</v>
      </c>
      <c r="R47" s="420">
        <f t="shared" si="17"/>
        <v>-2.1398002853067048E-3</v>
      </c>
      <c r="S47" s="420">
        <f t="shared" si="18"/>
        <v>4.4591619446349297E-2</v>
      </c>
      <c r="AL47" s="50">
        <f t="shared" si="20"/>
        <v>2018.8461538461545</v>
      </c>
      <c r="AO47" s="50">
        <f t="shared" si="3"/>
        <v>2019.0833333333305</v>
      </c>
      <c r="AP47" s="202">
        <f t="shared" si="21"/>
        <v>-3.0574550027509237E-2</v>
      </c>
      <c r="AQ47" s="202">
        <f t="shared" si="21"/>
        <v>0.8298453139217471</v>
      </c>
      <c r="AW47" s="883"/>
      <c r="AX47" s="484" t="s">
        <v>441</v>
      </c>
      <c r="AY47" s="397">
        <f>SUM(AY44:AY46)</f>
        <v>56763</v>
      </c>
      <c r="AZ47" s="398"/>
      <c r="BA47" s="399">
        <f>SUM(BA44:BA46)</f>
        <v>6395.4039012925423</v>
      </c>
      <c r="BB47" s="400">
        <f>SUM(AY44:AY46)</f>
        <v>56763</v>
      </c>
      <c r="BC47" s="400">
        <f>SUM(BA44:BA46)</f>
        <v>6395.4039012925423</v>
      </c>
      <c r="BD47" s="899"/>
      <c r="BE47" s="415">
        <f t="shared" si="7"/>
        <v>-6.959628907210412E-2</v>
      </c>
      <c r="BF47" s="418"/>
      <c r="BG47" s="419">
        <f t="shared" si="8"/>
        <v>-4.9887435934281799E-2</v>
      </c>
      <c r="BH47" s="420">
        <f t="shared" si="9"/>
        <v>-6.959628907210412E-2</v>
      </c>
      <c r="BI47" s="420">
        <f t="shared" si="10"/>
        <v>-4.9887435934281799E-2</v>
      </c>
      <c r="BJ47" s="464"/>
      <c r="BK47" s="464"/>
      <c r="BL47" s="464"/>
      <c r="BM47" s="464"/>
      <c r="BN47" s="464"/>
      <c r="BO47" s="464"/>
      <c r="BP47" s="464"/>
      <c r="BQ47" s="464"/>
      <c r="BR47" s="464"/>
      <c r="BS47" s="464"/>
      <c r="BT47" s="464"/>
      <c r="BU47" s="464"/>
    </row>
    <row r="48" spans="1:73" ht="15" thickBot="1" x14ac:dyDescent="0.8">
      <c r="A48" s="896"/>
      <c r="B48" s="404" t="s">
        <v>217</v>
      </c>
      <c r="C48" s="405">
        <v>23697</v>
      </c>
      <c r="D48" s="406">
        <v>3108</v>
      </c>
      <c r="E48" s="407">
        <v>54</v>
      </c>
      <c r="F48" s="408">
        <v>9303</v>
      </c>
      <c r="G48" s="400">
        <f>SUM(C37:C48)</f>
        <v>394445</v>
      </c>
      <c r="H48" s="400">
        <f>SUM(D37:D48)</f>
        <v>61220</v>
      </c>
      <c r="I48" s="400">
        <f>SUM(E37:E48)</f>
        <v>753.5</v>
      </c>
      <c r="J48" s="400">
        <f>SUM(F37:F48)</f>
        <v>125073</v>
      </c>
      <c r="K48" s="886"/>
      <c r="L48" s="421">
        <f t="shared" si="11"/>
        <v>-0.13111868881311187</v>
      </c>
      <c r="M48" s="422">
        <f t="shared" si="12"/>
        <v>-0.26576895818568391</v>
      </c>
      <c r="N48" s="423">
        <f t="shared" si="13"/>
        <v>-0.32500000000000001</v>
      </c>
      <c r="O48" s="424">
        <f t="shared" si="14"/>
        <v>1.3729977116704805E-2</v>
      </c>
      <c r="P48" s="424">
        <f t="shared" si="15"/>
        <v>-7.3017402441747065E-2</v>
      </c>
      <c r="Q48" s="424">
        <f t="shared" si="16"/>
        <v>-5.314278643900025E-2</v>
      </c>
      <c r="R48" s="424">
        <f t="shared" si="17"/>
        <v>-3.5211267605633804E-2</v>
      </c>
      <c r="S48" s="424">
        <f t="shared" si="18"/>
        <v>4.2231573684429813E-2</v>
      </c>
      <c r="AL48" s="50">
        <f t="shared" si="20"/>
        <v>2018.9230769230776</v>
      </c>
      <c r="AO48" s="50">
        <f t="shared" si="3"/>
        <v>2019.1666666666638</v>
      </c>
      <c r="AP48" s="202">
        <f t="shared" si="21"/>
        <v>0.20291378248106404</v>
      </c>
      <c r="AQ48" s="202">
        <f t="shared" si="21"/>
        <v>0.66102826619185395</v>
      </c>
      <c r="AW48" s="883"/>
      <c r="AX48" s="484" t="s">
        <v>438</v>
      </c>
      <c r="AY48" s="397">
        <v>1215</v>
      </c>
      <c r="AZ48" s="398">
        <f>INDEX($BK$16:$BL$19,MATCH($AX48,$BK$16:$BK$19,0),2)</f>
        <v>130</v>
      </c>
      <c r="BA48" s="399">
        <f>AY48/2*AZ48*$BS$13/10^3</f>
        <v>247.21637561397765</v>
      </c>
      <c r="BB48" s="400">
        <f>SUM(AY48)</f>
        <v>1215</v>
      </c>
      <c r="BC48" s="400">
        <f>SUM(BA48)</f>
        <v>247.21637561397765</v>
      </c>
      <c r="BD48" s="899"/>
      <c r="BE48" s="415">
        <f t="shared" si="7"/>
        <v>-0.18236877523553163</v>
      </c>
      <c r="BF48" s="418"/>
      <c r="BG48" s="419">
        <f t="shared" si="8"/>
        <v>-0.18236877523553172</v>
      </c>
      <c r="BH48" s="420">
        <f t="shared" si="9"/>
        <v>-0.18236877523553163</v>
      </c>
      <c r="BI48" s="420">
        <f t="shared" si="10"/>
        <v>-0.18236877523553172</v>
      </c>
      <c r="BJ48" s="464"/>
      <c r="BK48" s="464"/>
      <c r="BL48" s="464"/>
      <c r="BM48" s="464"/>
      <c r="BN48" s="464"/>
      <c r="BO48" s="464"/>
      <c r="BP48" s="464"/>
      <c r="BQ48" s="464"/>
      <c r="BR48" s="464"/>
      <c r="BS48" s="464"/>
      <c r="BT48" s="464"/>
      <c r="BU48" s="464"/>
    </row>
    <row r="49" spans="1:73" ht="15" thickBot="1" x14ac:dyDescent="0.8">
      <c r="A49" s="409" t="s">
        <v>21</v>
      </c>
      <c r="B49" s="425">
        <v>2018</v>
      </c>
      <c r="C49" s="411">
        <f>SUM(C37:C48)</f>
        <v>394445</v>
      </c>
      <c r="D49" s="411">
        <f>SUM(D37:D48)</f>
        <v>61220</v>
      </c>
      <c r="E49" s="411">
        <f>SUM(E37:E48)</f>
        <v>753.5</v>
      </c>
      <c r="F49" s="411">
        <f>SUM(F37:F48)</f>
        <v>125073</v>
      </c>
      <c r="G49" s="412">
        <f>G41</f>
        <v>144444</v>
      </c>
      <c r="H49" s="412">
        <f>H41</f>
        <v>21830</v>
      </c>
      <c r="I49" s="412">
        <f>I41</f>
        <v>305.39999999999998</v>
      </c>
      <c r="J49" s="412">
        <f>J41</f>
        <v>48584</v>
      </c>
      <c r="K49" s="887"/>
      <c r="L49" s="426">
        <f t="shared" si="11"/>
        <v>-7.3017402441747065E-2</v>
      </c>
      <c r="M49" s="426">
        <f t="shared" si="12"/>
        <v>-5.314278643900025E-2</v>
      </c>
      <c r="N49" s="427">
        <f t="shared" si="13"/>
        <v>-3.5211267605633804E-2</v>
      </c>
      <c r="O49" s="428">
        <f t="shared" si="14"/>
        <v>4.2231573684429813E-2</v>
      </c>
      <c r="P49" s="428">
        <f t="shared" si="15"/>
        <v>-7.4177813956171443E-2</v>
      </c>
      <c r="Q49" s="428">
        <f t="shared" si="16"/>
        <v>-9.7337082368508104E-2</v>
      </c>
      <c r="R49" s="428">
        <f t="shared" si="17"/>
        <v>-1.1650485436893277E-2</v>
      </c>
      <c r="S49" s="428">
        <f t="shared" si="18"/>
        <v>0.12629821958456974</v>
      </c>
      <c r="AL49" s="50">
        <f t="shared" si="20"/>
        <v>2019.0000000000007</v>
      </c>
      <c r="AO49" s="50">
        <f t="shared" si="3"/>
        <v>2019.249999999997</v>
      </c>
      <c r="AP49" s="202">
        <f t="shared" si="21"/>
        <v>-0.13440254490025846</v>
      </c>
      <c r="AQ49" s="202">
        <f t="shared" si="21"/>
        <v>-0.22402597402597402</v>
      </c>
      <c r="AW49" s="883"/>
      <c r="AX49" s="484" t="s">
        <v>439</v>
      </c>
      <c r="AY49" s="397">
        <v>1711</v>
      </c>
      <c r="AZ49" s="398">
        <f>INDEX($BK$16:$BL$19,MATCH($AX49,$BK$16:$BK$19,0),2)</f>
        <v>110</v>
      </c>
      <c r="BA49" s="399">
        <f>AY49/2*AZ49*$BS$13/10^3</f>
        <v>294.57799337959312</v>
      </c>
      <c r="BB49" s="400">
        <f>SUM(AY48:AY49)</f>
        <v>2926</v>
      </c>
      <c r="BC49" s="400">
        <f>SUM(BA48:BA49)</f>
        <v>541.79436899357074</v>
      </c>
      <c r="BD49" s="899"/>
      <c r="BE49" s="415">
        <f t="shared" si="7"/>
        <v>9.4395280235988199E-3</v>
      </c>
      <c r="BF49" s="418"/>
      <c r="BG49" s="419">
        <f t="shared" si="8"/>
        <v>9.4395280235988911E-3</v>
      </c>
      <c r="BH49" s="420">
        <f t="shared" si="9"/>
        <v>-8.0163470606727447E-2</v>
      </c>
      <c r="BI49" s="420">
        <f t="shared" si="10"/>
        <v>-8.816479203434939E-2</v>
      </c>
      <c r="BJ49" s="464"/>
      <c r="BK49" s="464"/>
      <c r="BL49" s="464"/>
      <c r="BM49" s="464"/>
      <c r="BN49" s="464"/>
      <c r="BO49" s="464"/>
      <c r="BP49" s="464"/>
      <c r="BQ49" s="464"/>
      <c r="BR49" s="464"/>
      <c r="BS49" s="464"/>
      <c r="BT49" s="464"/>
      <c r="BU49" s="464"/>
    </row>
    <row r="50" spans="1:73" ht="14.25" customHeight="1" x14ac:dyDescent="0.65">
      <c r="A50" s="883">
        <v>2019</v>
      </c>
      <c r="B50" s="388" t="s">
        <v>191</v>
      </c>
      <c r="C50" s="389">
        <v>23593</v>
      </c>
      <c r="D50" s="390">
        <v>4460</v>
      </c>
      <c r="E50" s="391">
        <v>42</v>
      </c>
      <c r="F50" s="390">
        <v>8947</v>
      </c>
      <c r="G50" s="392">
        <f>C50</f>
        <v>23593</v>
      </c>
      <c r="H50" s="392">
        <f>D50</f>
        <v>4460</v>
      </c>
      <c r="I50" s="392">
        <f>E50</f>
        <v>42</v>
      </c>
      <c r="J50" s="392">
        <f>F50</f>
        <v>8947</v>
      </c>
      <c r="K50" s="885" t="s">
        <v>274</v>
      </c>
      <c r="L50" s="415">
        <f t="shared" si="11"/>
        <v>-0.12153256134341141</v>
      </c>
      <c r="M50" s="415">
        <f t="shared" si="12"/>
        <v>-2.2371364653243847E-3</v>
      </c>
      <c r="N50" s="415">
        <f t="shared" si="13"/>
        <v>-0.34375</v>
      </c>
      <c r="O50" s="416">
        <f t="shared" si="14"/>
        <v>-0.12155130093274423</v>
      </c>
      <c r="P50" s="416">
        <f t="shared" si="15"/>
        <v>-0.12153256134341141</v>
      </c>
      <c r="Q50" s="416">
        <f t="shared" si="16"/>
        <v>-2.2371364653243847E-3</v>
      </c>
      <c r="R50" s="416">
        <f t="shared" si="17"/>
        <v>-0.34375</v>
      </c>
      <c r="S50" s="416">
        <f t="shared" si="18"/>
        <v>-0.12155130093274423</v>
      </c>
      <c r="AL50" s="50">
        <f t="shared" si="20"/>
        <v>2019.0769230769238</v>
      </c>
      <c r="AO50" s="50">
        <f t="shared" si="3"/>
        <v>2019.3333333333303</v>
      </c>
      <c r="AP50" s="202">
        <f t="shared" si="21"/>
        <v>-9.7556008146639506E-2</v>
      </c>
      <c r="AQ50" s="202">
        <f t="shared" si="21"/>
        <v>0.3135609756097561</v>
      </c>
      <c r="AW50" s="883"/>
      <c r="AX50" s="484" t="s">
        <v>442</v>
      </c>
      <c r="AY50" s="397">
        <f>AY49+AY48</f>
        <v>2926</v>
      </c>
      <c r="AZ50" s="398"/>
      <c r="BA50" s="399">
        <f>SUM(BA48:BA49)</f>
        <v>541.79436899357074</v>
      </c>
      <c r="BB50" s="400">
        <f>SUM(AY50)</f>
        <v>2926</v>
      </c>
      <c r="BC50" s="400">
        <f>SUM(BA50)</f>
        <v>541.79436899357074</v>
      </c>
      <c r="BD50" s="899"/>
      <c r="BE50" s="415">
        <f t="shared" si="7"/>
        <v>-8.0163470606727447E-2</v>
      </c>
      <c r="BF50" s="418"/>
      <c r="BG50" s="419">
        <f t="shared" si="8"/>
        <v>-8.816479203434939E-2</v>
      </c>
      <c r="BH50" s="420">
        <f t="shared" si="9"/>
        <v>-8.0163470606727447E-2</v>
      </c>
      <c r="BI50" s="420">
        <f t="shared" si="10"/>
        <v>-8.816479203434939E-2</v>
      </c>
      <c r="BJ50" s="464"/>
      <c r="BK50" s="464"/>
      <c r="BL50" s="464"/>
      <c r="BM50" s="464"/>
      <c r="BN50" s="464"/>
      <c r="BO50" s="464"/>
      <c r="BP50" s="464"/>
      <c r="BQ50" s="464"/>
      <c r="BR50" s="464"/>
      <c r="BS50" s="464"/>
      <c r="BT50" s="464"/>
      <c r="BU50" s="464"/>
    </row>
    <row r="51" spans="1:73" ht="14.25" x14ac:dyDescent="0.65">
      <c r="A51" s="883"/>
      <c r="B51" s="396" t="s">
        <v>195</v>
      </c>
      <c r="C51" s="397">
        <v>24668</v>
      </c>
      <c r="D51" s="398">
        <v>4022</v>
      </c>
      <c r="E51" s="399">
        <v>52</v>
      </c>
      <c r="F51" s="398">
        <v>7634</v>
      </c>
      <c r="G51" s="400">
        <f>SUM(C50:C51)</f>
        <v>48261</v>
      </c>
      <c r="H51" s="400">
        <f>SUM(D50:D51)</f>
        <v>8482</v>
      </c>
      <c r="I51" s="400">
        <f>SUM(E50:E51)</f>
        <v>94</v>
      </c>
      <c r="J51" s="400">
        <f>SUM(F50:F51)</f>
        <v>16581</v>
      </c>
      <c r="K51" s="886"/>
      <c r="L51" s="417">
        <f t="shared" si="11"/>
        <v>-3.0574550027509237E-2</v>
      </c>
      <c r="M51" s="418">
        <f t="shared" si="12"/>
        <v>0.8298453139217471</v>
      </c>
      <c r="N51" s="419">
        <f t="shared" si="13"/>
        <v>-0.14754098360655737</v>
      </c>
      <c r="O51" s="420">
        <f t="shared" si="14"/>
        <v>-4.884126588587092E-2</v>
      </c>
      <c r="P51" s="420">
        <f t="shared" si="15"/>
        <v>-7.728046192379022E-2</v>
      </c>
      <c r="Q51" s="420">
        <f t="shared" si="16"/>
        <v>0.27204559088182362</v>
      </c>
      <c r="R51" s="420">
        <f t="shared" si="17"/>
        <v>-0.248</v>
      </c>
      <c r="S51" s="420">
        <f t="shared" si="18"/>
        <v>-8.9506342320575472E-2</v>
      </c>
      <c r="AL51" s="50">
        <f t="shared" si="20"/>
        <v>2019.1538461538469</v>
      </c>
      <c r="AO51" s="50">
        <f t="shared" si="3"/>
        <v>2019.4166666666636</v>
      </c>
      <c r="AP51" s="202">
        <f t="shared" si="21"/>
        <v>-0.13777858684627989</v>
      </c>
      <c r="AQ51" s="202">
        <f t="shared" si="21"/>
        <v>1.6680294358135731E-2</v>
      </c>
      <c r="AW51" s="883"/>
      <c r="AX51" s="485" t="s">
        <v>438</v>
      </c>
      <c r="AY51" s="486">
        <f>AY44+AY48</f>
        <v>16108</v>
      </c>
      <c r="AZ51" s="398">
        <f>INDEX($BK$16:$BL$19,MATCH($AX51,$BK$16:$BK$19,0),2)</f>
        <v>130</v>
      </c>
      <c r="BA51" s="399">
        <f>AY51/2*AZ51*$BS$13/10^3</f>
        <v>3277.4990768641578</v>
      </c>
      <c r="BB51" s="400">
        <f>SUM(AY51)</f>
        <v>16108</v>
      </c>
      <c r="BC51" s="400">
        <f>SUM(BA51)</f>
        <v>3277.4990768641578</v>
      </c>
      <c r="BD51" s="899"/>
      <c r="BE51" s="415">
        <f t="shared" si="7"/>
        <v>-7.7434135166093931E-2</v>
      </c>
      <c r="BF51" s="418"/>
      <c r="BG51" s="419">
        <f t="shared" si="8"/>
        <v>-7.7434135166093876E-2</v>
      </c>
      <c r="BH51" s="420">
        <f t="shared" si="9"/>
        <v>-7.7434135166093931E-2</v>
      </c>
      <c r="BI51" s="420">
        <f t="shared" si="10"/>
        <v>-7.7434135166093876E-2</v>
      </c>
      <c r="BJ51" s="464"/>
      <c r="BK51" s="464"/>
      <c r="BL51" s="464"/>
      <c r="BM51" s="464"/>
      <c r="BN51" s="464"/>
      <c r="BO51" s="464"/>
      <c r="BP51" s="464"/>
      <c r="BQ51" s="464"/>
      <c r="BR51" s="464"/>
      <c r="BS51" s="464"/>
      <c r="BT51" s="464"/>
      <c r="BU51" s="464"/>
    </row>
    <row r="52" spans="1:73" ht="14.25" x14ac:dyDescent="0.65">
      <c r="A52" s="883"/>
      <c r="B52" s="396" t="s">
        <v>15</v>
      </c>
      <c r="C52" s="397">
        <v>33192</v>
      </c>
      <c r="D52" s="398">
        <v>7463</v>
      </c>
      <c r="E52" s="399">
        <v>60</v>
      </c>
      <c r="F52" s="398">
        <v>8747</v>
      </c>
      <c r="G52" s="400">
        <f>SUM(C50:C52)</f>
        <v>81453</v>
      </c>
      <c r="H52" s="400">
        <f>SUM(D50:D52)</f>
        <v>15945</v>
      </c>
      <c r="I52" s="400">
        <f>SUM(E50:E52)</f>
        <v>154</v>
      </c>
      <c r="J52" s="400">
        <f>SUM(F50:F52)</f>
        <v>25328</v>
      </c>
      <c r="K52" s="886"/>
      <c r="L52" s="417">
        <f t="shared" si="11"/>
        <v>0.20291378248106404</v>
      </c>
      <c r="M52" s="418">
        <f t="shared" si="12"/>
        <v>0.66102826619185395</v>
      </c>
      <c r="N52" s="419">
        <f t="shared" si="13"/>
        <v>0</v>
      </c>
      <c r="O52" s="420">
        <f t="shared" si="14"/>
        <v>-5.5603541351759878E-2</v>
      </c>
      <c r="P52" s="420">
        <f t="shared" si="15"/>
        <v>1.9487834184439772E-2</v>
      </c>
      <c r="Q52" s="420">
        <f t="shared" si="16"/>
        <v>0.4286354269330705</v>
      </c>
      <c r="R52" s="420">
        <f t="shared" si="17"/>
        <v>-0.16756756756756758</v>
      </c>
      <c r="S52" s="420">
        <f t="shared" si="18"/>
        <v>-7.8076657081498205E-2</v>
      </c>
      <c r="AL52" s="50">
        <f t="shared" si="20"/>
        <v>2019.23076923077</v>
      </c>
      <c r="AO52" s="50">
        <f t="shared" si="3"/>
        <v>2019.4999999999968</v>
      </c>
      <c r="AP52" s="202">
        <f t="shared" si="21"/>
        <v>-0.14761389036108485</v>
      </c>
      <c r="AQ52" s="202">
        <f t="shared" si="21"/>
        <v>-8.5789705235371758E-2</v>
      </c>
      <c r="AW52" s="883"/>
      <c r="AX52" s="485" t="s">
        <v>439</v>
      </c>
      <c r="AY52" s="486">
        <f>AY45+AY49</f>
        <v>20523</v>
      </c>
      <c r="AZ52" s="398">
        <f>INDEX($BK$16:$BL$19,MATCH($AX52,$BK$16:$BK$19,0),2)</f>
        <v>110</v>
      </c>
      <c r="BA52" s="399">
        <f>AY52/2*AZ52*$BS$13/10^3</f>
        <v>3533.3864162065397</v>
      </c>
      <c r="BB52" s="400">
        <f>SUM(AY51:AY52)</f>
        <v>36631</v>
      </c>
      <c r="BC52" s="400">
        <f>SUM(BA51:BA52)</f>
        <v>6810.8854930706975</v>
      </c>
      <c r="BD52" s="899"/>
      <c r="BE52" s="415">
        <f t="shared" si="7"/>
        <v>-2.7253768129680538E-2</v>
      </c>
      <c r="BF52" s="418"/>
      <c r="BG52" s="419">
        <f t="shared" si="8"/>
        <v>-2.7253768129680441E-2</v>
      </c>
      <c r="BH52" s="420">
        <f t="shared" si="9"/>
        <v>-4.9976658540380726E-2</v>
      </c>
      <c r="BI52" s="420">
        <f t="shared" si="10"/>
        <v>-5.206531636525219E-2</v>
      </c>
      <c r="BJ52" s="464"/>
      <c r="BK52" s="464"/>
      <c r="BL52" s="464"/>
      <c r="BM52" s="464"/>
      <c r="BN52" s="464"/>
      <c r="BO52" s="464"/>
      <c r="BP52" s="464"/>
      <c r="BQ52" s="464"/>
      <c r="BR52" s="464"/>
      <c r="BS52" s="464"/>
      <c r="BT52" s="464"/>
      <c r="BU52" s="464"/>
    </row>
    <row r="53" spans="1:73" ht="15" thickBot="1" x14ac:dyDescent="0.8">
      <c r="A53" s="883"/>
      <c r="B53" s="396" t="s">
        <v>16</v>
      </c>
      <c r="C53" s="397">
        <v>26122</v>
      </c>
      <c r="D53" s="398">
        <v>4302</v>
      </c>
      <c r="E53" s="399">
        <v>57.1</v>
      </c>
      <c r="F53" s="398">
        <v>9211</v>
      </c>
      <c r="G53" s="400">
        <f>SUM(C50:C53)</f>
        <v>107575</v>
      </c>
      <c r="H53" s="400">
        <f>SUM(D50:D53)</f>
        <v>20247</v>
      </c>
      <c r="I53" s="400">
        <f>SUM(E50:E53)</f>
        <v>211.1</v>
      </c>
      <c r="J53" s="400">
        <f>SUM(F50:F53)</f>
        <v>34539</v>
      </c>
      <c r="K53" s="886"/>
      <c r="L53" s="417">
        <f t="shared" si="11"/>
        <v>-0.13440254490025846</v>
      </c>
      <c r="M53" s="418">
        <f t="shared" si="12"/>
        <v>-0.22402597402597402</v>
      </c>
      <c r="N53" s="419">
        <f t="shared" si="13"/>
        <v>2.5134649910233366E-2</v>
      </c>
      <c r="O53" s="420">
        <f t="shared" si="14"/>
        <v>-1.5813655305053957E-2</v>
      </c>
      <c r="P53" s="420">
        <f t="shared" si="15"/>
        <v>-2.2702908952159456E-2</v>
      </c>
      <c r="Q53" s="420">
        <f t="shared" si="16"/>
        <v>0.21203232565100269</v>
      </c>
      <c r="R53" s="420">
        <f t="shared" si="17"/>
        <v>-0.1229746572496884</v>
      </c>
      <c r="S53" s="420">
        <f t="shared" si="18"/>
        <v>-6.225564726324935E-2</v>
      </c>
      <c r="AL53" s="50">
        <f t="shared" si="20"/>
        <v>2019.3076923076931</v>
      </c>
      <c r="AO53" s="50">
        <f t="shared" si="3"/>
        <v>2019.5833333333301</v>
      </c>
      <c r="AP53" s="202">
        <f t="shared" si="21"/>
        <v>-0.15543385770078327</v>
      </c>
      <c r="AQ53" s="202">
        <f t="shared" si="21"/>
        <v>-8.4347953645298512E-2</v>
      </c>
      <c r="AW53" s="884"/>
      <c r="AX53" s="485" t="s">
        <v>440</v>
      </c>
      <c r="AY53" s="486">
        <f>AY46</f>
        <v>23058</v>
      </c>
      <c r="AZ53" s="458">
        <f>INDEX($BK$16:$BL$19,MATCH($AX53,$BK$16:$BK$19,0),2)</f>
        <v>3.5</v>
      </c>
      <c r="BA53" s="399">
        <f>AY53/2*AZ53*$BS$13/10^3</f>
        <v>126.31277721541525</v>
      </c>
      <c r="BB53" s="400">
        <f>SUM(AY51:AY53)</f>
        <v>59689</v>
      </c>
      <c r="BC53" s="400">
        <f>SUM(BA51:BA53)</f>
        <v>6937.1982702861123</v>
      </c>
      <c r="BD53" s="899"/>
      <c r="BE53" s="415">
        <f t="shared" si="7"/>
        <v>-0.10042134831460674</v>
      </c>
      <c r="BF53" s="418"/>
      <c r="BG53" s="419">
        <f t="shared" si="8"/>
        <v>-0.10042134831460665</v>
      </c>
      <c r="BH53" s="420">
        <f t="shared" si="9"/>
        <v>-7.011995637949836E-2</v>
      </c>
      <c r="BI53" s="420">
        <f t="shared" si="10"/>
        <v>-5.2992206469168968E-2</v>
      </c>
      <c r="BJ53" s="464"/>
      <c r="BK53" s="464"/>
      <c r="BL53" s="464"/>
      <c r="BM53" s="464"/>
      <c r="BN53" s="464"/>
      <c r="BO53" s="464"/>
      <c r="BP53" s="464"/>
      <c r="BQ53" s="464"/>
      <c r="BR53" s="464"/>
      <c r="BS53" s="464"/>
      <c r="BT53" s="464"/>
      <c r="BU53" s="464"/>
    </row>
    <row r="54" spans="1:73" ht="15" thickBot="1" x14ac:dyDescent="0.8">
      <c r="A54" s="883"/>
      <c r="B54" s="396" t="s">
        <v>17</v>
      </c>
      <c r="C54" s="397">
        <v>31017</v>
      </c>
      <c r="D54" s="398">
        <v>6732</v>
      </c>
      <c r="E54" s="399">
        <v>56.9</v>
      </c>
      <c r="F54" s="398">
        <v>10210</v>
      </c>
      <c r="G54" s="400">
        <f>SUM(C50:C54)</f>
        <v>138592</v>
      </c>
      <c r="H54" s="400">
        <f>SUM(D50:D54)</f>
        <v>26979</v>
      </c>
      <c r="I54" s="400">
        <f>SUM(E50:E54)</f>
        <v>268</v>
      </c>
      <c r="J54" s="400">
        <f>SUM(F50:F54)</f>
        <v>44749</v>
      </c>
      <c r="K54" s="886"/>
      <c r="L54" s="417">
        <f t="shared" si="11"/>
        <v>-9.7556008146639506E-2</v>
      </c>
      <c r="M54" s="418">
        <f t="shared" si="12"/>
        <v>0.3135609756097561</v>
      </c>
      <c r="N54" s="419">
        <f t="shared" si="13"/>
        <v>-0.12055641421947456</v>
      </c>
      <c r="O54" s="420">
        <f t="shared" si="14"/>
        <v>-0.13121170864533696</v>
      </c>
      <c r="P54" s="420">
        <f t="shared" si="15"/>
        <v>-4.0513970812217887E-2</v>
      </c>
      <c r="Q54" s="420">
        <f t="shared" si="16"/>
        <v>0.2358680714612918</v>
      </c>
      <c r="R54" s="420">
        <f t="shared" si="17"/>
        <v>-0.12246234446627367</v>
      </c>
      <c r="S54" s="420">
        <f t="shared" si="18"/>
        <v>-7.8935452000658657E-2</v>
      </c>
      <c r="AL54" s="50">
        <f t="shared" si="20"/>
        <v>2019.3846153846162</v>
      </c>
      <c r="AO54" s="50">
        <f t="shared" si="3"/>
        <v>2019.6666666666633</v>
      </c>
      <c r="AP54" s="202">
        <f t="shared" si="21"/>
        <v>-0.13365718627876683</v>
      </c>
      <c r="AQ54" s="202">
        <f t="shared" si="21"/>
        <v>-0.22025447042640992</v>
      </c>
      <c r="AW54" s="409" t="s">
        <v>21</v>
      </c>
      <c r="AX54" s="425">
        <f>AW44</f>
        <v>2019</v>
      </c>
      <c r="AY54" s="411">
        <f>SUM(AY51:AY53)</f>
        <v>59689</v>
      </c>
      <c r="AZ54" s="411"/>
      <c r="BA54" s="411">
        <f>SUM(BA51:BA53)</f>
        <v>6937.1982702861123</v>
      </c>
      <c r="BB54" s="412">
        <f>BB53</f>
        <v>59689</v>
      </c>
      <c r="BC54" s="412">
        <f>BC53</f>
        <v>6937.1982702861123</v>
      </c>
      <c r="BD54" s="900"/>
      <c r="BE54" s="426">
        <f t="shared" si="7"/>
        <v>-7.011995637949836E-2</v>
      </c>
      <c r="BF54" s="426"/>
      <c r="BG54" s="427">
        <f t="shared" si="8"/>
        <v>-5.2992206469168968E-2</v>
      </c>
      <c r="BH54" s="428">
        <f t="shared" si="9"/>
        <v>-7.011995637949836E-2</v>
      </c>
      <c r="BI54" s="428">
        <f t="shared" si="10"/>
        <v>-5.2992206469168968E-2</v>
      </c>
      <c r="BJ54" s="464"/>
      <c r="BK54" s="464"/>
      <c r="BL54" s="464"/>
      <c r="BM54" s="464"/>
      <c r="BN54" s="464"/>
      <c r="BO54" s="464"/>
      <c r="BP54" s="464"/>
      <c r="BQ54" s="464"/>
      <c r="BR54" s="464"/>
      <c r="BS54" s="464"/>
      <c r="BT54" s="464"/>
      <c r="BU54" s="464"/>
    </row>
    <row r="55" spans="1:73" ht="14.25" x14ac:dyDescent="0.65">
      <c r="A55" s="883"/>
      <c r="B55" s="396" t="s">
        <v>18</v>
      </c>
      <c r="C55" s="397">
        <v>33155</v>
      </c>
      <c r="D55" s="398">
        <v>6217</v>
      </c>
      <c r="E55" s="399">
        <v>43.7</v>
      </c>
      <c r="F55" s="398">
        <v>11291</v>
      </c>
      <c r="G55" s="400">
        <f>SUM(C50:C55)</f>
        <v>171747</v>
      </c>
      <c r="H55" s="400">
        <f>SUM(D50:D55)</f>
        <v>33196</v>
      </c>
      <c r="I55" s="400">
        <f>SUM(E50:E55)</f>
        <v>311.7</v>
      </c>
      <c r="J55" s="400">
        <f>SUM(F50:F55)</f>
        <v>56040</v>
      </c>
      <c r="K55" s="886"/>
      <c r="L55" s="417">
        <f t="shared" si="11"/>
        <v>-0.13777858684627989</v>
      </c>
      <c r="M55" s="418">
        <f t="shared" si="12"/>
        <v>1.6680294358135731E-2</v>
      </c>
      <c r="N55" s="419">
        <f t="shared" si="13"/>
        <v>-0.36204379562043792</v>
      </c>
      <c r="O55" s="420">
        <f t="shared" si="14"/>
        <v>-1.5262515262515262E-2</v>
      </c>
      <c r="P55" s="420">
        <f t="shared" si="15"/>
        <v>-6.0963274411280667E-2</v>
      </c>
      <c r="Q55" s="420">
        <f t="shared" si="16"/>
        <v>0.18790481302558598</v>
      </c>
      <c r="R55" s="420">
        <f t="shared" si="17"/>
        <v>-0.16635464027814922</v>
      </c>
      <c r="S55" s="420">
        <f t="shared" si="18"/>
        <v>-6.6777685262281436E-2</v>
      </c>
      <c r="AL55" s="50">
        <f t="shared" si="20"/>
        <v>2019.4615384615392</v>
      </c>
      <c r="AO55" s="50">
        <f t="shared" si="3"/>
        <v>2019.7499999999966</v>
      </c>
      <c r="AP55" s="202">
        <f t="shared" si="21"/>
        <v>-0.15456969975050902</v>
      </c>
      <c r="AQ55" s="202">
        <f t="shared" si="21"/>
        <v>-0.15031079299303071</v>
      </c>
      <c r="AW55" s="897">
        <v>2020</v>
      </c>
      <c r="AX55" s="483" t="s">
        <v>438</v>
      </c>
      <c r="AY55" s="389">
        <v>7614</v>
      </c>
      <c r="AZ55" s="390">
        <f>INDEX($BK$16:$BL$19,MATCH($AX55,$BK$16:$BK$19,0),2)</f>
        <v>130</v>
      </c>
      <c r="BA55" s="391">
        <f>AY55/2*AZ55*$BS$13/10^3</f>
        <v>1549.2226205142599</v>
      </c>
      <c r="BB55" s="392">
        <f>AY55</f>
        <v>7614</v>
      </c>
      <c r="BC55" s="392">
        <f>BA55</f>
        <v>1549.2226205142599</v>
      </c>
      <c r="BD55" s="942" t="str">
        <f>"Milli áranna "&amp; AW44&amp;" og "&amp; AW55</f>
        <v>Milli áranna 2019 og 2020</v>
      </c>
      <c r="BE55" s="415">
        <f t="shared" si="7"/>
        <v>-0.4887531054857987</v>
      </c>
      <c r="BF55" s="415"/>
      <c r="BG55" s="415">
        <f t="shared" si="8"/>
        <v>-0.4887531054857987</v>
      </c>
      <c r="BH55" s="416">
        <f t="shared" si="9"/>
        <v>-0.4887531054857987</v>
      </c>
      <c r="BI55" s="416">
        <f t="shared" si="10"/>
        <v>-0.4887531054857987</v>
      </c>
      <c r="BJ55" s="464"/>
      <c r="BK55" s="464"/>
      <c r="BL55" s="464"/>
      <c r="BM55" s="464"/>
      <c r="BN55" s="464"/>
      <c r="BO55" s="464"/>
      <c r="BP55" s="464"/>
      <c r="BQ55" s="464"/>
      <c r="BR55" s="464"/>
      <c r="BS55" s="464"/>
      <c r="BT55" s="464"/>
      <c r="BU55" s="464"/>
    </row>
    <row r="56" spans="1:73" ht="14.25" x14ac:dyDescent="0.65">
      <c r="A56" s="883"/>
      <c r="B56" s="396" t="s">
        <v>19</v>
      </c>
      <c r="C56" s="397">
        <v>36991</v>
      </c>
      <c r="D56" s="398">
        <v>6234</v>
      </c>
      <c r="E56" s="399">
        <v>59.5</v>
      </c>
      <c r="F56" s="398">
        <v>12324</v>
      </c>
      <c r="G56" s="400">
        <f>SUM(C50:C56)</f>
        <v>208738</v>
      </c>
      <c r="H56" s="400">
        <f>SUM(D50:D56)</f>
        <v>39430</v>
      </c>
      <c r="I56" s="400">
        <f>SUM(E50:E56)</f>
        <v>371.2</v>
      </c>
      <c r="J56" s="400">
        <f>SUM(F50:F56)</f>
        <v>68364</v>
      </c>
      <c r="K56" s="886"/>
      <c r="L56" s="417">
        <f t="shared" ref="L56:L87" si="22">(C56-C43)/C43</f>
        <v>-0.14761389036108485</v>
      </c>
      <c r="M56" s="418">
        <f t="shared" ref="M56:M87" si="23">(D56-D43)/D43</f>
        <v>-8.5789705235371758E-2</v>
      </c>
      <c r="N56" s="419">
        <f t="shared" ref="N56:N87" si="24">(E56-E43)/E43</f>
        <v>-0.13517441860465113</v>
      </c>
      <c r="O56" s="420">
        <f t="shared" ref="O56:O87" si="25">(F56-F43)/F43</f>
        <v>-1.6675975424878323E-2</v>
      </c>
      <c r="P56" s="420">
        <f t="shared" ref="P56:P87" si="26">(G56-G43)/G43</f>
        <v>-7.75804926334768E-2</v>
      </c>
      <c r="Q56" s="420">
        <f t="shared" ref="Q56:Q87" si="27">(H56-H43)/H43</f>
        <v>0.13421930732942125</v>
      </c>
      <c r="R56" s="420">
        <f t="shared" ref="R56:R87" si="28">(I56-I43)/I43</f>
        <v>-0.16150892252089452</v>
      </c>
      <c r="S56" s="420">
        <f t="shared" ref="S56:S87" si="29">(J56-J43)/J43</f>
        <v>-5.8126558560544481E-2</v>
      </c>
      <c r="AL56" s="50">
        <f t="shared" si="20"/>
        <v>2019.5384615384623</v>
      </c>
      <c r="AO56" s="50">
        <f t="shared" si="3"/>
        <v>2019.8333333333298</v>
      </c>
      <c r="AP56" s="202">
        <f t="shared" si="21"/>
        <v>-4.1335216712512078E-2</v>
      </c>
      <c r="AQ56" s="202">
        <f t="shared" si="21"/>
        <v>-2.8671846096929337E-2</v>
      </c>
      <c r="AW56" s="883"/>
      <c r="AX56" s="484" t="s">
        <v>439</v>
      </c>
      <c r="AY56" s="397">
        <v>15319</v>
      </c>
      <c r="AZ56" s="398">
        <f>INDEX($BK$16:$BL$19,MATCH($AX56,$BK$16:$BK$19,0),2)</f>
        <v>110</v>
      </c>
      <c r="BA56" s="399">
        <f>AY56/2*AZ56*$BS$13/10^3</f>
        <v>2637.4285684289812</v>
      </c>
      <c r="BB56" s="400">
        <f>SUM(AY55:AY56)</f>
        <v>22933</v>
      </c>
      <c r="BC56" s="400">
        <f>SUM(BA55:BA56)</f>
        <v>4186.6511889432413</v>
      </c>
      <c r="BD56" s="899"/>
      <c r="BE56" s="415">
        <f t="shared" si="7"/>
        <v>-0.1856793536040825</v>
      </c>
      <c r="BF56" s="418"/>
      <c r="BG56" s="419">
        <f t="shared" si="8"/>
        <v>-0.18567935360408255</v>
      </c>
      <c r="BH56" s="420">
        <f t="shared" si="9"/>
        <v>-0.31959649903575138</v>
      </c>
      <c r="BI56" s="420">
        <f t="shared" si="10"/>
        <v>-0.33217573232203446</v>
      </c>
      <c r="BJ56" s="464"/>
      <c r="BK56" s="464"/>
      <c r="BL56" s="464"/>
      <c r="BM56" s="464"/>
      <c r="BN56" s="464"/>
      <c r="BO56" s="464"/>
      <c r="BP56" s="464"/>
      <c r="BQ56" s="464"/>
      <c r="BR56" s="464"/>
      <c r="BS56" s="464"/>
      <c r="BT56" s="464"/>
      <c r="BU56" s="464"/>
    </row>
    <row r="57" spans="1:73" ht="14.25" x14ac:dyDescent="0.65">
      <c r="A57" s="883"/>
      <c r="B57" s="396" t="s">
        <v>20</v>
      </c>
      <c r="C57" s="397">
        <v>38709</v>
      </c>
      <c r="D57" s="398">
        <v>6242</v>
      </c>
      <c r="E57" s="399">
        <v>66.099999999999994</v>
      </c>
      <c r="F57" s="398">
        <v>12709</v>
      </c>
      <c r="G57" s="400">
        <f>SUM(C50:C57)</f>
        <v>247447</v>
      </c>
      <c r="H57" s="400">
        <f>SUM(D50:D57)</f>
        <v>45672</v>
      </c>
      <c r="I57" s="400">
        <f>SUM(E50:E57)</f>
        <v>437.29999999999995</v>
      </c>
      <c r="J57" s="400">
        <f>SUM(F50:F57)</f>
        <v>81073</v>
      </c>
      <c r="K57" s="886"/>
      <c r="L57" s="417">
        <f t="shared" si="22"/>
        <v>-0.15543385770078327</v>
      </c>
      <c r="M57" s="418">
        <f t="shared" si="23"/>
        <v>-8.4347953645298512E-2</v>
      </c>
      <c r="N57" s="419">
        <f t="shared" si="24"/>
        <v>-0.16855345911949693</v>
      </c>
      <c r="O57" s="420">
        <f t="shared" si="25"/>
        <v>6.9781144781144777E-2</v>
      </c>
      <c r="P57" s="420">
        <f t="shared" si="26"/>
        <v>-9.0692948513010463E-2</v>
      </c>
      <c r="Q57" s="420">
        <f t="shared" si="27"/>
        <v>9.8386282196195371E-2</v>
      </c>
      <c r="R57" s="420">
        <f t="shared" si="28"/>
        <v>-0.16258138644197642</v>
      </c>
      <c r="S57" s="420">
        <f t="shared" si="29"/>
        <v>-4.0135917502338303E-2</v>
      </c>
      <c r="AL57" s="50">
        <f t="shared" si="20"/>
        <v>2019.6153846153854</v>
      </c>
      <c r="AO57" s="50">
        <f t="shared" si="3"/>
        <v>2019.9166666666631</v>
      </c>
      <c r="AP57" s="202">
        <f t="shared" si="21"/>
        <v>-8.0600919947672697E-2</v>
      </c>
      <c r="AQ57" s="202">
        <f t="shared" si="21"/>
        <v>-0.13481338481338481</v>
      </c>
      <c r="AW57" s="883"/>
      <c r="AX57" s="484" t="s">
        <v>440</v>
      </c>
      <c r="AY57" s="397">
        <v>16164</v>
      </c>
      <c r="AZ57" s="458">
        <f>INDEX($BK$16:$BL$19,MATCH($AX57,$BK$16:$BK$19,0),2)</f>
        <v>3.5</v>
      </c>
      <c r="BA57" s="399">
        <f>AY57/2*AZ57*$BS$13/10^3</f>
        <v>88.547130319627556</v>
      </c>
      <c r="BB57" s="400">
        <f>SUM(AY55:AY57)</f>
        <v>39097</v>
      </c>
      <c r="BC57" s="400">
        <f>SUM(BA55:BA57)</f>
        <v>4275.1983192628686</v>
      </c>
      <c r="BD57" s="899"/>
      <c r="BE57" s="415">
        <f t="shared" si="7"/>
        <v>-0.29898516783762685</v>
      </c>
      <c r="BF57" s="418"/>
      <c r="BG57" s="419">
        <f t="shared" si="8"/>
        <v>-0.29898516783762685</v>
      </c>
      <c r="BH57" s="420">
        <f t="shared" si="9"/>
        <v>-0.31122386061342777</v>
      </c>
      <c r="BI57" s="420">
        <f t="shared" si="10"/>
        <v>-0.3315202002489897</v>
      </c>
      <c r="BJ57" s="464"/>
      <c r="BK57" s="464"/>
      <c r="BL57" s="464"/>
      <c r="BM57" s="464"/>
      <c r="BN57" s="464"/>
      <c r="BO57" s="464"/>
      <c r="BP57" s="464"/>
      <c r="BQ57" s="464"/>
      <c r="BR57" s="464"/>
      <c r="BS57" s="464"/>
      <c r="BT57" s="464"/>
      <c r="BU57" s="464"/>
    </row>
    <row r="58" spans="1:73" ht="14.25" x14ac:dyDescent="0.65">
      <c r="A58" s="883"/>
      <c r="B58" s="396" t="s">
        <v>211</v>
      </c>
      <c r="C58" s="397">
        <v>31923</v>
      </c>
      <c r="D58" s="398">
        <v>4535</v>
      </c>
      <c r="E58" s="399">
        <v>54.3</v>
      </c>
      <c r="F58" s="398">
        <v>11360</v>
      </c>
      <c r="G58" s="400">
        <f>SUM(C50:C58)</f>
        <v>279370</v>
      </c>
      <c r="H58" s="400">
        <f>SUM(D50:D58)</f>
        <v>50207</v>
      </c>
      <c r="I58" s="400">
        <f>SUM(E50:E58)</f>
        <v>491.59999999999997</v>
      </c>
      <c r="J58" s="400">
        <f>SUM(F50:F58)</f>
        <v>92433</v>
      </c>
      <c r="K58" s="886"/>
      <c r="L58" s="417">
        <f t="shared" si="22"/>
        <v>-0.13365718627876683</v>
      </c>
      <c r="M58" s="418">
        <f t="shared" si="23"/>
        <v>-0.22025447042640992</v>
      </c>
      <c r="N58" s="419">
        <f t="shared" si="24"/>
        <v>-9.950248756218906E-2</v>
      </c>
      <c r="O58" s="420">
        <f t="shared" si="25"/>
        <v>1.5282867101617661E-2</v>
      </c>
      <c r="P58" s="420">
        <f t="shared" si="26"/>
        <v>-9.5816813658062952E-2</v>
      </c>
      <c r="Q58" s="420">
        <f t="shared" si="27"/>
        <v>5.9286452729075678E-2</v>
      </c>
      <c r="R58" s="420">
        <f t="shared" si="28"/>
        <v>-0.15605150214592281</v>
      </c>
      <c r="S58" s="420">
        <f t="shared" si="29"/>
        <v>-3.3653243005896373E-2</v>
      </c>
      <c r="AL58" s="50">
        <f t="shared" si="20"/>
        <v>2019.6923076923085</v>
      </c>
      <c r="AO58" s="50">
        <f t="shared" si="3"/>
        <v>2019.9999999999964</v>
      </c>
      <c r="AP58" s="202">
        <f t="shared" ref="AP58:AQ65" si="30">L63</f>
        <v>-0.13431950154706904</v>
      </c>
      <c r="AQ58" s="202">
        <f t="shared" si="30"/>
        <v>-0.41278026905829596</v>
      </c>
      <c r="AW58" s="883"/>
      <c r="AX58" s="484" t="s">
        <v>441</v>
      </c>
      <c r="AY58" s="397">
        <f>SUM(AY55:AY57)</f>
        <v>39097</v>
      </c>
      <c r="AZ58" s="398"/>
      <c r="BA58" s="399">
        <f>SUM(BA55:BA57)</f>
        <v>4275.1983192628686</v>
      </c>
      <c r="BB58" s="400">
        <f>SUM(AY55:AY57)</f>
        <v>39097</v>
      </c>
      <c r="BC58" s="400">
        <f>SUM(BA55:BA57)</f>
        <v>4275.1983192628686</v>
      </c>
      <c r="BD58" s="899"/>
      <c r="BE58" s="415">
        <f t="shared" si="7"/>
        <v>-0.31122386061342777</v>
      </c>
      <c r="BF58" s="418"/>
      <c r="BG58" s="419">
        <f t="shared" si="8"/>
        <v>-0.3315202002489897</v>
      </c>
      <c r="BH58" s="420">
        <f t="shared" si="9"/>
        <v>-0.31122386061342777</v>
      </c>
      <c r="BI58" s="420">
        <f t="shared" si="10"/>
        <v>-0.3315202002489897</v>
      </c>
      <c r="BJ58" s="464"/>
      <c r="BK58" s="464"/>
      <c r="BL58" s="464"/>
      <c r="BM58" s="464"/>
      <c r="BN58" s="464"/>
      <c r="BO58" s="464"/>
      <c r="BP58" s="464"/>
      <c r="BQ58" s="464"/>
      <c r="BR58" s="464"/>
      <c r="BS58" s="464"/>
      <c r="BT58" s="464"/>
      <c r="BU58" s="464"/>
    </row>
    <row r="59" spans="1:73" ht="14.25" x14ac:dyDescent="0.65">
      <c r="A59" s="883"/>
      <c r="B59" s="396" t="s">
        <v>213</v>
      </c>
      <c r="C59" s="397">
        <v>29481</v>
      </c>
      <c r="D59" s="398">
        <v>4511</v>
      </c>
      <c r="E59" s="399">
        <v>54</v>
      </c>
      <c r="F59" s="398">
        <v>11792</v>
      </c>
      <c r="G59" s="400">
        <f>SUM(C50:C59)</f>
        <v>308851</v>
      </c>
      <c r="H59" s="400">
        <f>SUM(D50:D59)</f>
        <v>54718</v>
      </c>
      <c r="I59" s="400">
        <f>SUM(E50:E59)</f>
        <v>545.59999999999991</v>
      </c>
      <c r="J59" s="400">
        <f>SUM(F50:F59)</f>
        <v>104225</v>
      </c>
      <c r="K59" s="886"/>
      <c r="L59" s="417">
        <f t="shared" si="22"/>
        <v>-0.15456969975050902</v>
      </c>
      <c r="M59" s="418">
        <f t="shared" si="23"/>
        <v>-0.15031079299303071</v>
      </c>
      <c r="N59" s="419">
        <f t="shared" si="24"/>
        <v>-0.22857142857142856</v>
      </c>
      <c r="O59" s="420">
        <f t="shared" si="25"/>
        <v>7.0442992011619465E-2</v>
      </c>
      <c r="P59" s="420">
        <f t="shared" si="26"/>
        <v>-0.1017752133222431</v>
      </c>
      <c r="Q59" s="420">
        <f t="shared" si="27"/>
        <v>3.817402193298676E-2</v>
      </c>
      <c r="R59" s="420">
        <f t="shared" si="28"/>
        <v>-0.16383141762452122</v>
      </c>
      <c r="S59" s="420">
        <f t="shared" si="29"/>
        <v>-2.290283871451607E-2</v>
      </c>
      <c r="AL59" s="50">
        <f t="shared" si="20"/>
        <v>2019.7692307692316</v>
      </c>
      <c r="AO59" s="50">
        <f t="shared" si="3"/>
        <v>2020.0833333333296</v>
      </c>
      <c r="AP59" s="202">
        <f t="shared" si="30"/>
        <v>-0.10738608723852765</v>
      </c>
      <c r="AQ59" s="202">
        <f t="shared" si="30"/>
        <v>-0.15116857284932869</v>
      </c>
      <c r="AW59" s="883"/>
      <c r="AX59" s="484" t="s">
        <v>438</v>
      </c>
      <c r="AY59" s="397">
        <v>489</v>
      </c>
      <c r="AZ59" s="398">
        <f>INDEX($BK$16:$BL$19,MATCH($AX59,$BK$16:$BK$19,0),2)</f>
        <v>130</v>
      </c>
      <c r="BA59" s="399">
        <f>AY59/2*AZ59*$BS$13/10^3</f>
        <v>99.496961049576186</v>
      </c>
      <c r="BB59" s="400">
        <f>SUM(AY59)</f>
        <v>489</v>
      </c>
      <c r="BC59" s="400">
        <f>SUM(BA59)</f>
        <v>99.496961049576186</v>
      </c>
      <c r="BD59" s="899"/>
      <c r="BE59" s="415">
        <f t="shared" si="7"/>
        <v>-0.59753086419753088</v>
      </c>
      <c r="BF59" s="418"/>
      <c r="BG59" s="419">
        <f t="shared" si="8"/>
        <v>-0.59753086419753088</v>
      </c>
      <c r="BH59" s="420">
        <f t="shared" si="9"/>
        <v>-0.59753086419753088</v>
      </c>
      <c r="BI59" s="420">
        <f t="shared" si="10"/>
        <v>-0.59753086419753088</v>
      </c>
      <c r="BJ59" s="464"/>
      <c r="BK59" s="464"/>
      <c r="BL59" s="464"/>
      <c r="BM59" s="464"/>
      <c r="BN59" s="464"/>
      <c r="BO59" s="464"/>
      <c r="BP59" s="464"/>
      <c r="BQ59" s="464"/>
      <c r="BR59" s="464"/>
      <c r="BS59" s="464"/>
      <c r="BT59" s="464"/>
      <c r="BU59" s="464"/>
    </row>
    <row r="60" spans="1:73" ht="14.25" x14ac:dyDescent="0.65">
      <c r="A60" s="883"/>
      <c r="B60" s="396" t="s">
        <v>216</v>
      </c>
      <c r="C60" s="397">
        <v>25790</v>
      </c>
      <c r="D60" s="398">
        <v>5251</v>
      </c>
      <c r="E60" s="399">
        <v>50</v>
      </c>
      <c r="F60" s="398">
        <v>10453</v>
      </c>
      <c r="G60" s="400">
        <f>SUM(C50:C60)</f>
        <v>334641</v>
      </c>
      <c r="H60" s="400">
        <f>SUM(D50:D60)</f>
        <v>59969</v>
      </c>
      <c r="I60" s="400">
        <f>SUM(E50:E60)</f>
        <v>595.59999999999991</v>
      </c>
      <c r="J60" s="400">
        <f>SUM(F50:F60)</f>
        <v>114678</v>
      </c>
      <c r="K60" s="886"/>
      <c r="L60" s="417">
        <f t="shared" si="22"/>
        <v>-4.1335216712512078E-2</v>
      </c>
      <c r="M60" s="418">
        <f t="shared" si="23"/>
        <v>-2.8671846096929337E-2</v>
      </c>
      <c r="N60" s="419">
        <f t="shared" si="24"/>
        <v>6.3829787234042548E-2</v>
      </c>
      <c r="O60" s="420">
        <f t="shared" si="25"/>
        <v>0.14842891672159964</v>
      </c>
      <c r="P60" s="420">
        <f t="shared" si="26"/>
        <v>-9.738960156224713E-2</v>
      </c>
      <c r="Q60" s="420">
        <f t="shared" si="27"/>
        <v>3.1955534140969161E-2</v>
      </c>
      <c r="R60" s="420">
        <f t="shared" si="28"/>
        <v>-0.1485346676197285</v>
      </c>
      <c r="S60" s="420">
        <f t="shared" si="29"/>
        <v>-9.4324954651464118E-3</v>
      </c>
      <c r="AL60" s="50">
        <f t="shared" si="20"/>
        <v>2019.8461538461547</v>
      </c>
      <c r="AO60" s="50">
        <f t="shared" si="3"/>
        <v>2020.1666666666629</v>
      </c>
      <c r="AP60" s="202">
        <f t="shared" si="30"/>
        <v>-0.58902747650036158</v>
      </c>
      <c r="AQ60" s="202">
        <f t="shared" si="30"/>
        <v>-0.49175934610746347</v>
      </c>
      <c r="AW60" s="883"/>
      <c r="AX60" s="484" t="s">
        <v>439</v>
      </c>
      <c r="AY60" s="397">
        <v>975</v>
      </c>
      <c r="AZ60" s="398">
        <f>INDEX($BK$16:$BL$19,MATCH($AX60,$BK$16:$BK$19,0),2)</f>
        <v>110</v>
      </c>
      <c r="BA60" s="399">
        <f>AY60/2*AZ60*$BS$13/10^3</f>
        <v>167.86297109591072</v>
      </c>
      <c r="BB60" s="400">
        <f>SUM(AY59:AY60)</f>
        <v>1464</v>
      </c>
      <c r="BC60" s="400">
        <f>SUM(BA59:BA60)</f>
        <v>267.35993214548694</v>
      </c>
      <c r="BD60" s="899"/>
      <c r="BE60" s="415">
        <f t="shared" si="7"/>
        <v>-0.43015780245470486</v>
      </c>
      <c r="BF60" s="418"/>
      <c r="BG60" s="419">
        <f t="shared" si="8"/>
        <v>-0.43015780245470497</v>
      </c>
      <c r="BH60" s="420">
        <f t="shared" si="9"/>
        <v>-0.49965823650034175</v>
      </c>
      <c r="BI60" s="420">
        <f t="shared" si="10"/>
        <v>-0.50652877282181652</v>
      </c>
      <c r="BJ60" s="464"/>
      <c r="BK60" s="464"/>
      <c r="BL60" s="464"/>
      <c r="BM60" s="464"/>
      <c r="BN60" s="464"/>
      <c r="BO60" s="464"/>
      <c r="BP60" s="464"/>
      <c r="BQ60" s="464"/>
      <c r="BR60" s="464"/>
      <c r="BS60" s="464"/>
      <c r="BT60" s="464"/>
      <c r="BU60" s="464"/>
    </row>
    <row r="61" spans="1:73" ht="15" thickBot="1" x14ac:dyDescent="0.8">
      <c r="A61" s="896"/>
      <c r="B61" s="404" t="s">
        <v>217</v>
      </c>
      <c r="C61" s="405">
        <v>21787</v>
      </c>
      <c r="D61" s="406">
        <v>2689</v>
      </c>
      <c r="E61" s="407">
        <v>58</v>
      </c>
      <c r="F61" s="408">
        <v>9476</v>
      </c>
      <c r="G61" s="400">
        <f>SUM(C50:C61)</f>
        <v>356428</v>
      </c>
      <c r="H61" s="400">
        <f>SUM(D50:D61)</f>
        <v>62658</v>
      </c>
      <c r="I61" s="400">
        <f>SUM(E50:E61)</f>
        <v>653.59999999999991</v>
      </c>
      <c r="J61" s="400">
        <f>SUM(F50:F61)</f>
        <v>124154</v>
      </c>
      <c r="K61" s="886"/>
      <c r="L61" s="421">
        <f t="shared" si="22"/>
        <v>-8.0600919947672697E-2</v>
      </c>
      <c r="M61" s="422">
        <f t="shared" si="23"/>
        <v>-0.13481338481338481</v>
      </c>
      <c r="N61" s="423">
        <f t="shared" si="24"/>
        <v>7.407407407407407E-2</v>
      </c>
      <c r="O61" s="424">
        <f t="shared" si="25"/>
        <v>1.8596151778996022E-2</v>
      </c>
      <c r="P61" s="424">
        <f t="shared" si="26"/>
        <v>-9.638099101268871E-2</v>
      </c>
      <c r="Q61" s="424">
        <f t="shared" si="27"/>
        <v>2.3489055864096699E-2</v>
      </c>
      <c r="R61" s="424">
        <f t="shared" si="28"/>
        <v>-0.13258128732581301</v>
      </c>
      <c r="S61" s="424">
        <f t="shared" si="29"/>
        <v>-7.3477089379802192E-3</v>
      </c>
      <c r="AL61" s="50">
        <f t="shared" si="20"/>
        <v>2019.9230769230778</v>
      </c>
      <c r="AO61" s="50">
        <f t="shared" si="3"/>
        <v>2020.2499999999961</v>
      </c>
      <c r="AP61" s="202">
        <f t="shared" si="30"/>
        <v>-0.88588163234055584</v>
      </c>
      <c r="AQ61" s="202">
        <f t="shared" si="30"/>
        <v>-0.63319386331938632</v>
      </c>
      <c r="AW61" s="883"/>
      <c r="AX61" s="484" t="s">
        <v>442</v>
      </c>
      <c r="AY61" s="397">
        <f>AY60+AY59</f>
        <v>1464</v>
      </c>
      <c r="AZ61" s="398"/>
      <c r="BA61" s="399">
        <f>SUM(BA59:BA60)</f>
        <v>267.35993214548694</v>
      </c>
      <c r="BB61" s="400">
        <f>SUM(AY61)</f>
        <v>1464</v>
      </c>
      <c r="BC61" s="400">
        <f>SUM(BA61)</f>
        <v>267.35993214548694</v>
      </c>
      <c r="BD61" s="899"/>
      <c r="BE61" s="415">
        <f t="shared" si="7"/>
        <v>-0.49965823650034175</v>
      </c>
      <c r="BF61" s="418"/>
      <c r="BG61" s="419">
        <f t="shared" si="8"/>
        <v>-0.50652877282181652</v>
      </c>
      <c r="BH61" s="420">
        <f t="shared" si="9"/>
        <v>-0.49965823650034175</v>
      </c>
      <c r="BI61" s="420">
        <f t="shared" si="10"/>
        <v>-0.50652877282181652</v>
      </c>
      <c r="BJ61" s="464"/>
      <c r="BK61" s="464"/>
      <c r="BL61" s="464"/>
      <c r="BM61" s="464"/>
      <c r="BN61" s="464"/>
      <c r="BO61" s="464"/>
      <c r="BP61" s="464"/>
      <c r="BQ61" s="464"/>
      <c r="BR61" s="464"/>
      <c r="BS61" s="464"/>
      <c r="BT61" s="464"/>
      <c r="BU61" s="464"/>
    </row>
    <row r="62" spans="1:73" ht="15" thickBot="1" x14ac:dyDescent="0.8">
      <c r="A62" s="409" t="s">
        <v>21</v>
      </c>
      <c r="B62" s="425">
        <v>2019</v>
      </c>
      <c r="C62" s="411">
        <f>SUM(C50:C61)</f>
        <v>356428</v>
      </c>
      <c r="D62" s="411">
        <f>SUM(D50:D61)</f>
        <v>62658</v>
      </c>
      <c r="E62" s="411">
        <f>SUM(E50:E61)</f>
        <v>653.59999999999991</v>
      </c>
      <c r="F62" s="411">
        <f>SUM(F50:F61)</f>
        <v>124154</v>
      </c>
      <c r="G62" s="412">
        <f>G54</f>
        <v>138592</v>
      </c>
      <c r="H62" s="412">
        <f>H54</f>
        <v>26979</v>
      </c>
      <c r="I62" s="412">
        <f>I54</f>
        <v>268</v>
      </c>
      <c r="J62" s="412">
        <f>J54</f>
        <v>44749</v>
      </c>
      <c r="K62" s="887"/>
      <c r="L62" s="426">
        <f t="shared" si="22"/>
        <v>-9.638099101268871E-2</v>
      </c>
      <c r="M62" s="426">
        <f t="shared" si="23"/>
        <v>2.3489055864096699E-2</v>
      </c>
      <c r="N62" s="427">
        <f t="shared" si="24"/>
        <v>-0.13258128732581301</v>
      </c>
      <c r="O62" s="428">
        <f t="shared" si="25"/>
        <v>-7.3477089379802192E-3</v>
      </c>
      <c r="P62" s="428">
        <f t="shared" si="26"/>
        <v>-4.0513970812217887E-2</v>
      </c>
      <c r="Q62" s="428">
        <f t="shared" si="27"/>
        <v>0.2358680714612918</v>
      </c>
      <c r="R62" s="428">
        <f t="shared" si="28"/>
        <v>-0.12246234446627367</v>
      </c>
      <c r="S62" s="428">
        <f t="shared" si="29"/>
        <v>-7.8935452000658657E-2</v>
      </c>
      <c r="AL62" s="50">
        <f t="shared" si="20"/>
        <v>2020.0000000000009</v>
      </c>
      <c r="AO62" s="50">
        <f t="shared" si="3"/>
        <v>2020.3333333333294</v>
      </c>
      <c r="AP62" s="202">
        <f t="shared" si="30"/>
        <v>-0.75645613695715253</v>
      </c>
      <c r="AQ62" s="202">
        <f t="shared" si="30"/>
        <v>-0.42498514557338085</v>
      </c>
      <c r="AW62" s="883"/>
      <c r="AX62" s="485" t="s">
        <v>438</v>
      </c>
      <c r="AY62" s="486">
        <f>AY55+AY59</f>
        <v>8103</v>
      </c>
      <c r="AZ62" s="398">
        <f>INDEX($BK$16:$BL$19,MATCH($AX62,$BK$16:$BK$19,0),2)</f>
        <v>130</v>
      </c>
      <c r="BA62" s="399">
        <f>AY62/2*AZ62*$BS$13/10^3</f>
        <v>1648.7195815638363</v>
      </c>
      <c r="BB62" s="400">
        <f>SUM(AY62)</f>
        <v>8103</v>
      </c>
      <c r="BC62" s="400">
        <f>SUM(BA62)</f>
        <v>1648.7195815638363</v>
      </c>
      <c r="BD62" s="899"/>
      <c r="BE62" s="415">
        <f t="shared" si="7"/>
        <v>-0.49695803327539112</v>
      </c>
      <c r="BF62" s="418"/>
      <c r="BG62" s="419">
        <f t="shared" si="8"/>
        <v>-0.49695803327539101</v>
      </c>
      <c r="BH62" s="420">
        <f t="shared" si="9"/>
        <v>-0.49695803327539112</v>
      </c>
      <c r="BI62" s="420">
        <f t="shared" si="10"/>
        <v>-0.49695803327539101</v>
      </c>
      <c r="BJ62" s="464"/>
      <c r="BK62" s="464"/>
      <c r="BL62" s="464"/>
      <c r="BM62" s="464" t="s">
        <v>461</v>
      </c>
      <c r="BN62" s="464" t="s">
        <v>462</v>
      </c>
      <c r="BO62" s="464" t="s">
        <v>8</v>
      </c>
      <c r="BP62" s="464"/>
      <c r="BQ62" s="464"/>
      <c r="BR62" s="464"/>
      <c r="BS62" s="464"/>
      <c r="BT62" s="464"/>
      <c r="BU62" s="464"/>
    </row>
    <row r="63" spans="1:73" ht="14.25" customHeight="1" x14ac:dyDescent="0.65">
      <c r="A63" s="883">
        <v>2020</v>
      </c>
      <c r="B63" s="388" t="s">
        <v>191</v>
      </c>
      <c r="C63" s="389">
        <v>20424</v>
      </c>
      <c r="D63" s="390">
        <v>2619</v>
      </c>
      <c r="E63" s="391">
        <v>43</v>
      </c>
      <c r="F63" s="390">
        <v>9112</v>
      </c>
      <c r="G63" s="392">
        <f>C63</f>
        <v>20424</v>
      </c>
      <c r="H63" s="392">
        <f>D63</f>
        <v>2619</v>
      </c>
      <c r="I63" s="392">
        <f>E63</f>
        <v>43</v>
      </c>
      <c r="J63" s="392">
        <f>F63</f>
        <v>9112</v>
      </c>
      <c r="K63" s="885" t="s">
        <v>275</v>
      </c>
      <c r="L63" s="415">
        <f t="shared" si="22"/>
        <v>-0.13431950154706904</v>
      </c>
      <c r="M63" s="415">
        <f t="shared" si="23"/>
        <v>-0.41278026905829596</v>
      </c>
      <c r="N63" s="415">
        <f t="shared" si="24"/>
        <v>2.3809523809523808E-2</v>
      </c>
      <c r="O63" s="416">
        <f t="shared" si="25"/>
        <v>1.8441935844417123E-2</v>
      </c>
      <c r="P63" s="416">
        <f t="shared" si="26"/>
        <v>-0.13431950154706904</v>
      </c>
      <c r="Q63" s="416">
        <f t="shared" si="27"/>
        <v>-0.41278026905829596</v>
      </c>
      <c r="R63" s="416">
        <f t="shared" si="28"/>
        <v>2.3809523809523808E-2</v>
      </c>
      <c r="S63" s="416">
        <f t="shared" si="29"/>
        <v>1.8441935844417123E-2</v>
      </c>
      <c r="AL63" s="50">
        <f t="shared" si="20"/>
        <v>2020.076923076924</v>
      </c>
      <c r="AO63" s="50">
        <f t="shared" si="3"/>
        <v>2020.4166666666626</v>
      </c>
      <c r="AP63" s="202">
        <f t="shared" si="30"/>
        <v>-0.50502186698838791</v>
      </c>
      <c r="AQ63" s="202">
        <f t="shared" si="30"/>
        <v>-0.34775615248512143</v>
      </c>
      <c r="AW63" s="883"/>
      <c r="AX63" s="485" t="s">
        <v>439</v>
      </c>
      <c r="AY63" s="486">
        <f>AY56+AY60</f>
        <v>16294</v>
      </c>
      <c r="AZ63" s="398">
        <f>INDEX($BK$16:$BL$19,MATCH($AX63,$BK$16:$BK$19,0),2)</f>
        <v>110</v>
      </c>
      <c r="BA63" s="399">
        <f>AY63/2*AZ63*$BS$13/10^3</f>
        <v>2805.291539524892</v>
      </c>
      <c r="BB63" s="400">
        <f>SUM(AY62:AY63)</f>
        <v>24397</v>
      </c>
      <c r="BC63" s="400">
        <f>SUM(BA62:BA63)</f>
        <v>4454.011121088728</v>
      </c>
      <c r="BD63" s="899"/>
      <c r="BE63" s="415">
        <f t="shared" si="7"/>
        <v>-0.20606149198460263</v>
      </c>
      <c r="BF63" s="418"/>
      <c r="BG63" s="419">
        <f t="shared" si="8"/>
        <v>-0.20606149198460263</v>
      </c>
      <c r="BH63" s="420">
        <f t="shared" si="9"/>
        <v>-0.3339794163413502</v>
      </c>
      <c r="BI63" s="420">
        <f t="shared" si="10"/>
        <v>-0.34604522046066133</v>
      </c>
      <c r="BJ63" s="464"/>
      <c r="BK63" s="464"/>
      <c r="BL63" s="464"/>
      <c r="BM63" s="464">
        <v>16108</v>
      </c>
      <c r="BN63" s="464">
        <v>130</v>
      </c>
      <c r="BO63" s="464">
        <f>BN63*BM63</f>
        <v>2094040</v>
      </c>
      <c r="BP63" s="464">
        <f>BO63/1000</f>
        <v>2094.04</v>
      </c>
      <c r="BQ63" s="464">
        <f>BR63/BP63</f>
        <v>2.1967106645527305E-2</v>
      </c>
      <c r="BR63" s="464">
        <v>46</v>
      </c>
      <c r="BS63" s="464"/>
      <c r="BT63" s="464"/>
      <c r="BU63" s="464"/>
    </row>
    <row r="64" spans="1:73" ht="15" thickBot="1" x14ac:dyDescent="0.8">
      <c r="A64" s="883"/>
      <c r="B64" s="396" t="s">
        <v>195</v>
      </c>
      <c r="C64" s="397">
        <v>22019</v>
      </c>
      <c r="D64" s="398">
        <v>3414</v>
      </c>
      <c r="E64" s="399">
        <v>45</v>
      </c>
      <c r="F64" s="398">
        <v>9970</v>
      </c>
      <c r="G64" s="400">
        <f>SUM(C63:C64)</f>
        <v>42443</v>
      </c>
      <c r="H64" s="400">
        <f>SUM(D63:D64)</f>
        <v>6033</v>
      </c>
      <c r="I64" s="400">
        <f>SUM(E63:E64)</f>
        <v>88</v>
      </c>
      <c r="J64" s="400">
        <f>SUM(F63:F64)</f>
        <v>19082</v>
      </c>
      <c r="K64" s="886"/>
      <c r="L64" s="417">
        <f t="shared" si="22"/>
        <v>-0.10738608723852765</v>
      </c>
      <c r="M64" s="418">
        <f t="shared" si="23"/>
        <v>-0.15116857284932869</v>
      </c>
      <c r="N64" s="419">
        <f t="shared" si="24"/>
        <v>-0.13461538461538461</v>
      </c>
      <c r="O64" s="420">
        <f t="shared" si="25"/>
        <v>0.30599947602829447</v>
      </c>
      <c r="P64" s="420">
        <f t="shared" si="26"/>
        <v>-0.12055282733470089</v>
      </c>
      <c r="Q64" s="420">
        <f t="shared" si="27"/>
        <v>-0.2887290733317614</v>
      </c>
      <c r="R64" s="420">
        <f t="shared" si="28"/>
        <v>-6.3829787234042548E-2</v>
      </c>
      <c r="S64" s="420">
        <f t="shared" si="29"/>
        <v>0.15083529340811772</v>
      </c>
      <c r="AL64" s="50">
        <f t="shared" si="20"/>
        <v>2020.1538461538471</v>
      </c>
      <c r="AO64" s="50">
        <f t="shared" si="3"/>
        <v>2020.4999999999959</v>
      </c>
      <c r="AP64" s="202">
        <f t="shared" si="30"/>
        <v>-0.44959584763861482</v>
      </c>
      <c r="AQ64" s="202">
        <f t="shared" si="30"/>
        <v>-8.2451074751363485E-2</v>
      </c>
      <c r="AW64" s="884"/>
      <c r="AX64" s="485" t="s">
        <v>440</v>
      </c>
      <c r="AY64" s="486">
        <f>AY57</f>
        <v>16164</v>
      </c>
      <c r="AZ64" s="458">
        <f>INDEX($BK$16:$BL$19,MATCH($AX64,$BK$16:$BK$19,0),2)</f>
        <v>3.5</v>
      </c>
      <c r="BA64" s="399">
        <f>AY64/2*AZ64*$BS$13/10^3</f>
        <v>88.547130319627556</v>
      </c>
      <c r="BB64" s="400">
        <f>SUM(AY62:AY64)</f>
        <v>40561</v>
      </c>
      <c r="BC64" s="400">
        <f>SUM(BA62:BA64)</f>
        <v>4542.5582514083553</v>
      </c>
      <c r="BD64" s="899"/>
      <c r="BE64" s="415">
        <f t="shared" si="7"/>
        <v>-0.29898516783762685</v>
      </c>
      <c r="BF64" s="418"/>
      <c r="BG64" s="419">
        <f t="shared" si="8"/>
        <v>-0.29898516783762685</v>
      </c>
      <c r="BH64" s="420">
        <f t="shared" si="9"/>
        <v>-0.3204610564760676</v>
      </c>
      <c r="BI64" s="420">
        <f t="shared" si="10"/>
        <v>-0.34518834918336483</v>
      </c>
      <c r="BJ64" s="464"/>
      <c r="BK64" s="464"/>
      <c r="BL64" s="464"/>
      <c r="BM64" s="464">
        <v>20523</v>
      </c>
      <c r="BN64" s="464">
        <v>110</v>
      </c>
      <c r="BO64" s="464">
        <f>BN64*BM64</f>
        <v>2257530</v>
      </c>
      <c r="BP64" s="464">
        <f>BO64/1000</f>
        <v>2257.5300000000002</v>
      </c>
      <c r="BQ64" s="464">
        <f>BR64/BP64</f>
        <v>1.9933289923057498E-2</v>
      </c>
      <c r="BR64" s="464">
        <v>45</v>
      </c>
      <c r="BS64" s="464"/>
      <c r="BT64" s="464"/>
      <c r="BU64" s="464"/>
    </row>
    <row r="65" spans="1:73" ht="15" thickBot="1" x14ac:dyDescent="0.8">
      <c r="A65" s="883"/>
      <c r="B65" s="396" t="s">
        <v>15</v>
      </c>
      <c r="C65" s="397">
        <v>13641</v>
      </c>
      <c r="D65" s="398">
        <v>3793</v>
      </c>
      <c r="E65" s="399">
        <v>42</v>
      </c>
      <c r="F65" s="398">
        <v>6839</v>
      </c>
      <c r="G65" s="400">
        <f>SUM(C63:C65)</f>
        <v>56084</v>
      </c>
      <c r="H65" s="400">
        <f>SUM(D63:D65)</f>
        <v>9826</v>
      </c>
      <c r="I65" s="400">
        <f>SUM(E63:E65)</f>
        <v>130</v>
      </c>
      <c r="J65" s="400">
        <f>SUM(F63:F65)</f>
        <v>25921</v>
      </c>
      <c r="K65" s="886"/>
      <c r="L65" s="417">
        <f t="shared" si="22"/>
        <v>-0.58902747650036158</v>
      </c>
      <c r="M65" s="418">
        <f t="shared" si="23"/>
        <v>-0.49175934610746347</v>
      </c>
      <c r="N65" s="419">
        <f t="shared" si="24"/>
        <v>-0.3</v>
      </c>
      <c r="O65" s="420">
        <f t="shared" si="25"/>
        <v>-0.21813193094775352</v>
      </c>
      <c r="P65" s="420">
        <f t="shared" si="26"/>
        <v>-0.31145568610118718</v>
      </c>
      <c r="Q65" s="420">
        <f t="shared" si="27"/>
        <v>-0.38375666353088744</v>
      </c>
      <c r="R65" s="420">
        <f t="shared" si="28"/>
        <v>-0.15584415584415584</v>
      </c>
      <c r="S65" s="420">
        <f t="shared" si="29"/>
        <v>2.341282375236892E-2</v>
      </c>
      <c r="AL65" s="50">
        <f t="shared" si="20"/>
        <v>2020.2307692307702</v>
      </c>
      <c r="AO65" s="50">
        <f t="shared" si="3"/>
        <v>2020.5833333333292</v>
      </c>
      <c r="AP65" s="202">
        <f t="shared" si="30"/>
        <v>-0.56351236146632566</v>
      </c>
      <c r="AQ65" s="202">
        <f t="shared" si="30"/>
        <v>-0.26497917334187759</v>
      </c>
      <c r="AW65" s="409" t="s">
        <v>21</v>
      </c>
      <c r="AX65" s="425">
        <f>AW55</f>
        <v>2020</v>
      </c>
      <c r="AY65" s="411">
        <f>SUM(AY62:AY64)</f>
        <v>40561</v>
      </c>
      <c r="AZ65" s="411"/>
      <c r="BA65" s="411">
        <f>SUM(BA62:BA64)</f>
        <v>4542.5582514083553</v>
      </c>
      <c r="BB65" s="412">
        <f>BB64</f>
        <v>40561</v>
      </c>
      <c r="BC65" s="412">
        <f>BC64</f>
        <v>4542.5582514083553</v>
      </c>
      <c r="BD65" s="900"/>
      <c r="BE65" s="426">
        <f t="shared" si="7"/>
        <v>-0.3204610564760676</v>
      </c>
      <c r="BF65" s="426"/>
      <c r="BG65" s="427">
        <f t="shared" si="8"/>
        <v>-0.34518834918336483</v>
      </c>
      <c r="BH65" s="428">
        <f t="shared" si="9"/>
        <v>-0.3204610564760676</v>
      </c>
      <c r="BI65" s="428">
        <f t="shared" si="10"/>
        <v>-0.34518834918336483</v>
      </c>
      <c r="BJ65" s="464"/>
      <c r="BK65" s="464"/>
      <c r="BL65" s="464"/>
      <c r="BM65" s="464">
        <v>23058</v>
      </c>
      <c r="BN65" s="464">
        <v>3.5</v>
      </c>
      <c r="BO65" s="464">
        <f>BN65*BM65</f>
        <v>80703</v>
      </c>
      <c r="BP65" s="464">
        <f>BO65/1000</f>
        <v>80.703000000000003</v>
      </c>
      <c r="BQ65" s="464">
        <f>BR65/BP65</f>
        <v>2.4782226187378412E-2</v>
      </c>
      <c r="BR65" s="464">
        <v>2</v>
      </c>
      <c r="BS65" s="464"/>
      <c r="BT65" s="464"/>
      <c r="BU65" s="464"/>
    </row>
    <row r="66" spans="1:73" ht="14.25" x14ac:dyDescent="0.65">
      <c r="A66" s="883"/>
      <c r="B66" s="396" t="s">
        <v>16</v>
      </c>
      <c r="C66" s="397">
        <v>2981</v>
      </c>
      <c r="D66" s="398">
        <v>1578</v>
      </c>
      <c r="E66" s="399">
        <v>30.2</v>
      </c>
      <c r="F66" s="398">
        <v>1295</v>
      </c>
      <c r="G66" s="400">
        <f>SUM(C63:C66)</f>
        <v>59065</v>
      </c>
      <c r="H66" s="400">
        <f>SUM(D63:D66)</f>
        <v>11404</v>
      </c>
      <c r="I66" s="400">
        <f>SUM(E63:E66)</f>
        <v>160.19999999999999</v>
      </c>
      <c r="J66" s="400">
        <f>SUM(F63:F66)</f>
        <v>27216</v>
      </c>
      <c r="K66" s="886"/>
      <c r="L66" s="417">
        <f t="shared" si="22"/>
        <v>-0.88588163234055584</v>
      </c>
      <c r="M66" s="418">
        <f t="shared" si="23"/>
        <v>-0.63319386331938632</v>
      </c>
      <c r="N66" s="419">
        <f t="shared" si="24"/>
        <v>-0.47110332749562173</v>
      </c>
      <c r="O66" s="420">
        <f t="shared" si="25"/>
        <v>-0.85940723048528933</v>
      </c>
      <c r="P66" s="420">
        <f t="shared" si="26"/>
        <v>-0.45094120381129443</v>
      </c>
      <c r="Q66" s="420">
        <f t="shared" si="27"/>
        <v>-0.43675606262656197</v>
      </c>
      <c r="R66" s="420">
        <f t="shared" si="28"/>
        <v>-0.24111795357650406</v>
      </c>
      <c r="S66" s="420">
        <f t="shared" si="29"/>
        <v>-0.21202119343350995</v>
      </c>
      <c r="AL66" s="50">
        <f t="shared" si="20"/>
        <v>2020.3076923076933</v>
      </c>
      <c r="AO66" s="50">
        <f t="shared" si="3"/>
        <v>2020.6666666666624</v>
      </c>
      <c r="AP66" s="202">
        <f t="shared" ref="AP66:AP73" si="31">L71</f>
        <v>-0.51708799298311559</v>
      </c>
      <c r="AQ66" s="202">
        <f t="shared" ref="AQ66:AQ73" si="32">M71</f>
        <v>-0.22183020948180815</v>
      </c>
      <c r="AW66" s="464"/>
      <c r="AX66" s="464"/>
      <c r="AY66" s="464"/>
      <c r="AZ66" s="464"/>
      <c r="BA66" s="464"/>
      <c r="BB66" s="464"/>
      <c r="BC66" s="464"/>
      <c r="BD66" s="464"/>
      <c r="BE66" s="464"/>
      <c r="BF66" s="464"/>
      <c r="BG66" s="464"/>
      <c r="BH66" s="464"/>
      <c r="BI66" s="464"/>
      <c r="BJ66" s="464"/>
      <c r="BK66" s="464"/>
      <c r="BL66" s="464"/>
      <c r="BM66" s="464"/>
      <c r="BN66" s="464"/>
      <c r="BO66" s="464"/>
      <c r="BP66" s="464"/>
      <c r="BQ66" s="464"/>
      <c r="BR66" s="464"/>
      <c r="BS66" s="464"/>
      <c r="BT66" s="464"/>
      <c r="BU66" s="464"/>
    </row>
    <row r="67" spans="1:73" ht="14.25" x14ac:dyDescent="0.65">
      <c r="A67" s="883"/>
      <c r="B67" s="396" t="s">
        <v>17</v>
      </c>
      <c r="C67" s="397">
        <v>7554</v>
      </c>
      <c r="D67" s="398">
        <v>3871</v>
      </c>
      <c r="E67" s="399">
        <v>36.799999999999997</v>
      </c>
      <c r="F67" s="398">
        <v>1713</v>
      </c>
      <c r="G67" s="400">
        <f>SUM(C63:C67)</f>
        <v>66619</v>
      </c>
      <c r="H67" s="400">
        <f>SUM(D63:D67)</f>
        <v>15275</v>
      </c>
      <c r="I67" s="400">
        <f>SUM(E63:E67)</f>
        <v>197</v>
      </c>
      <c r="J67" s="400">
        <f>SUM(F63:F67)</f>
        <v>28929</v>
      </c>
      <c r="K67" s="886"/>
      <c r="L67" s="417">
        <f t="shared" si="22"/>
        <v>-0.75645613695715253</v>
      </c>
      <c r="M67" s="418">
        <f t="shared" si="23"/>
        <v>-0.42498514557338085</v>
      </c>
      <c r="N67" s="419">
        <f t="shared" si="24"/>
        <v>-0.35325131810193328</v>
      </c>
      <c r="O67" s="420">
        <f t="shared" si="25"/>
        <v>-0.8322233104799216</v>
      </c>
      <c r="P67" s="420">
        <f t="shared" si="26"/>
        <v>-0.51931568921727089</v>
      </c>
      <c r="Q67" s="420">
        <f t="shared" si="27"/>
        <v>-0.43381889617850922</v>
      </c>
      <c r="R67" s="420">
        <f t="shared" si="28"/>
        <v>-0.26492537313432835</v>
      </c>
      <c r="S67" s="420">
        <f t="shared" si="29"/>
        <v>-0.35352745312744421</v>
      </c>
      <c r="AL67" s="50">
        <f t="shared" si="20"/>
        <v>2020.3846153846164</v>
      </c>
      <c r="AO67" s="50">
        <f t="shared" si="3"/>
        <v>2020.7499999999957</v>
      </c>
      <c r="AP67" s="202">
        <f t="shared" si="31"/>
        <v>-0.70960957905091415</v>
      </c>
      <c r="AQ67" s="202">
        <f t="shared" si="32"/>
        <v>-0.39414763910441142</v>
      </c>
      <c r="AW67" s="464"/>
      <c r="AX67" s="464"/>
      <c r="AY67" s="464"/>
      <c r="AZ67" s="464"/>
      <c r="BA67" s="464"/>
      <c r="BB67" s="464"/>
      <c r="BC67" s="464"/>
      <c r="BD67" s="464"/>
      <c r="BE67" s="464"/>
      <c r="BF67" s="464"/>
      <c r="BG67" s="464"/>
      <c r="BH67" s="464"/>
      <c r="BI67" s="464"/>
      <c r="BJ67" s="464"/>
      <c r="BK67" s="464"/>
      <c r="BL67" s="464"/>
      <c r="BM67" s="464"/>
      <c r="BN67" s="464"/>
      <c r="BO67" s="464"/>
      <c r="BP67" s="464"/>
      <c r="BQ67" s="464">
        <f>BP63*44</f>
        <v>92137.76</v>
      </c>
      <c r="BR67" s="464"/>
      <c r="BS67" s="464"/>
      <c r="BT67" s="464"/>
      <c r="BU67" s="464"/>
    </row>
    <row r="68" spans="1:73" ht="14.25" x14ac:dyDescent="0.65">
      <c r="A68" s="883"/>
      <c r="B68" s="396" t="s">
        <v>18</v>
      </c>
      <c r="C68" s="397">
        <v>16411</v>
      </c>
      <c r="D68" s="398">
        <v>4055</v>
      </c>
      <c r="E68" s="399">
        <v>40</v>
      </c>
      <c r="F68" s="398">
        <v>2603</v>
      </c>
      <c r="G68" s="400">
        <f>SUM(C63:C68)</f>
        <v>83030</v>
      </c>
      <c r="H68" s="400">
        <f>SUM(D63:D68)</f>
        <v>19330</v>
      </c>
      <c r="I68" s="400">
        <f>SUM(E63:E68)</f>
        <v>237</v>
      </c>
      <c r="J68" s="400">
        <f>SUM(F63:F68)</f>
        <v>31532</v>
      </c>
      <c r="K68" s="886"/>
      <c r="L68" s="417">
        <f t="shared" si="22"/>
        <v>-0.50502186698838791</v>
      </c>
      <c r="M68" s="418">
        <f t="shared" si="23"/>
        <v>-0.34775615248512143</v>
      </c>
      <c r="N68" s="419">
        <f t="shared" si="24"/>
        <v>-8.4668192219679694E-2</v>
      </c>
      <c r="O68" s="420">
        <f t="shared" si="25"/>
        <v>-0.76946240368435037</v>
      </c>
      <c r="P68" s="420">
        <f t="shared" si="26"/>
        <v>-0.51655632995045042</v>
      </c>
      <c r="Q68" s="420">
        <f t="shared" si="27"/>
        <v>-0.41770092782262924</v>
      </c>
      <c r="R68" s="420">
        <f t="shared" si="28"/>
        <v>-0.23965351299326274</v>
      </c>
      <c r="S68" s="420">
        <f t="shared" si="29"/>
        <v>-0.43733047822983584</v>
      </c>
      <c r="AL68" s="50">
        <f t="shared" si="20"/>
        <v>2020.4615384615395</v>
      </c>
      <c r="AO68" s="50">
        <f t="shared" si="3"/>
        <v>2020.8333333333289</v>
      </c>
      <c r="AP68" s="202">
        <f t="shared" si="31"/>
        <v>-0.70383869716944547</v>
      </c>
      <c r="AQ68" s="202">
        <f t="shared" si="32"/>
        <v>-0.56636831079794325</v>
      </c>
      <c r="AW68" s="464"/>
      <c r="AX68" s="464"/>
      <c r="AY68" s="464"/>
      <c r="AZ68" s="464" t="s">
        <v>627</v>
      </c>
      <c r="BA68" s="464" t="s">
        <v>628</v>
      </c>
      <c r="BB68" s="464"/>
      <c r="BC68" s="464"/>
      <c r="BD68" s="464"/>
      <c r="BE68" s="464"/>
      <c r="BF68" s="464"/>
      <c r="BG68" s="464"/>
      <c r="BH68" s="464"/>
      <c r="BI68" s="464"/>
      <c r="BJ68" s="464"/>
      <c r="BK68" s="464"/>
      <c r="BL68" s="464"/>
      <c r="BM68" s="464"/>
      <c r="BN68" s="464"/>
      <c r="BO68" s="464"/>
      <c r="BP68" s="464"/>
      <c r="BQ68" s="464">
        <f>BP64*44</f>
        <v>99331.32</v>
      </c>
      <c r="BR68" s="464"/>
      <c r="BS68" s="464"/>
      <c r="BT68" s="464"/>
      <c r="BU68" s="464"/>
    </row>
    <row r="69" spans="1:73" ht="14.25" x14ac:dyDescent="0.65">
      <c r="A69" s="883"/>
      <c r="B69" s="396" t="s">
        <v>19</v>
      </c>
      <c r="C69" s="397">
        <v>20360</v>
      </c>
      <c r="D69" s="398">
        <v>5720</v>
      </c>
      <c r="E69" s="399">
        <v>43.8</v>
      </c>
      <c r="F69" s="398">
        <v>3221</v>
      </c>
      <c r="G69" s="400">
        <f>SUM(C63:C69)</f>
        <v>103390</v>
      </c>
      <c r="H69" s="400">
        <f>SUM(D63:D69)</f>
        <v>25050</v>
      </c>
      <c r="I69" s="400">
        <f>SUM(E63:E69)</f>
        <v>280.8</v>
      </c>
      <c r="J69" s="400">
        <f>SUM(F63:F69)</f>
        <v>34753</v>
      </c>
      <c r="K69" s="886"/>
      <c r="L69" s="417">
        <f t="shared" si="22"/>
        <v>-0.44959584763861482</v>
      </c>
      <c r="M69" s="418">
        <f t="shared" si="23"/>
        <v>-8.2451074751363485E-2</v>
      </c>
      <c r="N69" s="419">
        <f t="shared" si="24"/>
        <v>-0.26386554621848746</v>
      </c>
      <c r="O69" s="420">
        <f t="shared" si="25"/>
        <v>-0.7386400519311912</v>
      </c>
      <c r="P69" s="420">
        <f t="shared" si="26"/>
        <v>-0.50469008996924369</v>
      </c>
      <c r="Q69" s="420">
        <f t="shared" si="27"/>
        <v>-0.36469693127060615</v>
      </c>
      <c r="R69" s="420">
        <f t="shared" si="28"/>
        <v>-0.24353448275862064</v>
      </c>
      <c r="S69" s="420">
        <f t="shared" si="29"/>
        <v>-0.49164765081036804</v>
      </c>
      <c r="AL69" s="50">
        <f t="shared" si="20"/>
        <v>2020.5384615384626</v>
      </c>
      <c r="AO69" s="50">
        <f t="shared" si="3"/>
        <v>2020.9166666666622</v>
      </c>
      <c r="AP69" s="202">
        <f t="shared" si="31"/>
        <v>-0.43484646807729382</v>
      </c>
      <c r="AQ69" s="202">
        <f t="shared" si="32"/>
        <v>-0.11342506507995537</v>
      </c>
      <c r="AW69" s="464"/>
      <c r="AX69" s="464">
        <f>AY62/2*AZ62</f>
        <v>526695</v>
      </c>
      <c r="AY69" s="464"/>
      <c r="AZ69" s="464">
        <f>SUMPRODUCT(AY62:AY64,AZ62:AZ64)/2/1000</f>
        <v>1451.152</v>
      </c>
      <c r="BA69" s="464">
        <f>AZ69*BR12/1000000</f>
        <v>6.4373102720000006E-2</v>
      </c>
      <c r="BB69" s="464">
        <f>BA69*BQ12</f>
        <v>4543.1932913141345</v>
      </c>
      <c r="BC69" s="464"/>
      <c r="BD69" s="464"/>
      <c r="BE69" s="464"/>
      <c r="BF69" s="464"/>
      <c r="BG69" s="464"/>
      <c r="BH69" s="464"/>
      <c r="BI69" s="464"/>
      <c r="BJ69" s="464"/>
      <c r="BK69" s="464"/>
      <c r="BL69" s="464"/>
      <c r="BM69" s="464"/>
      <c r="BN69" s="464"/>
      <c r="BO69" s="464"/>
      <c r="BP69" s="464"/>
      <c r="BQ69" s="464">
        <f>BP65*44</f>
        <v>3550.9320000000002</v>
      </c>
      <c r="BR69" s="464"/>
      <c r="BS69" s="464"/>
      <c r="BT69" s="464"/>
      <c r="BU69" s="464"/>
    </row>
    <row r="70" spans="1:73" ht="14.25" x14ac:dyDescent="0.65">
      <c r="A70" s="883"/>
      <c r="B70" s="396" t="s">
        <v>20</v>
      </c>
      <c r="C70" s="397">
        <v>16896</v>
      </c>
      <c r="D70" s="398">
        <v>4588</v>
      </c>
      <c r="E70" s="399">
        <v>40.299999999999997</v>
      </c>
      <c r="F70" s="398">
        <v>3754</v>
      </c>
      <c r="G70" s="400">
        <f>SUM(C63:C70)</f>
        <v>120286</v>
      </c>
      <c r="H70" s="400">
        <f>SUM(D63:D70)</f>
        <v>29638</v>
      </c>
      <c r="I70" s="400">
        <f>SUM(E63:E70)</f>
        <v>321.10000000000002</v>
      </c>
      <c r="J70" s="400">
        <f>SUM(F63:F70)</f>
        <v>38507</v>
      </c>
      <c r="K70" s="886"/>
      <c r="L70" s="417">
        <f t="shared" si="22"/>
        <v>-0.56351236146632566</v>
      </c>
      <c r="M70" s="418">
        <f t="shared" si="23"/>
        <v>-0.26497917334187759</v>
      </c>
      <c r="N70" s="419">
        <f t="shared" si="24"/>
        <v>-0.39031770045385777</v>
      </c>
      <c r="O70" s="420">
        <f t="shared" si="25"/>
        <v>-0.7046187740970965</v>
      </c>
      <c r="P70" s="420">
        <f t="shared" si="26"/>
        <v>-0.51389186371222928</v>
      </c>
      <c r="Q70" s="420">
        <f t="shared" si="27"/>
        <v>-0.35106848835172533</v>
      </c>
      <c r="R70" s="420">
        <f t="shared" si="28"/>
        <v>-0.26572147267322194</v>
      </c>
      <c r="S70" s="420">
        <f t="shared" si="29"/>
        <v>-0.52503299495516387</v>
      </c>
      <c r="U70" s="50" t="s">
        <v>276</v>
      </c>
      <c r="V70" s="50">
        <v>474519</v>
      </c>
      <c r="W70" s="50">
        <v>3132</v>
      </c>
      <c r="AL70" s="50">
        <f t="shared" si="20"/>
        <v>2020.6153846153857</v>
      </c>
      <c r="AO70" s="50">
        <f t="shared" si="3"/>
        <v>2020.9999999999955</v>
      </c>
      <c r="AP70" s="202">
        <f t="shared" si="31"/>
        <v>-0.53927862008596406</v>
      </c>
      <c r="AQ70" s="202">
        <f t="shared" si="32"/>
        <v>-0.35266047432091674</v>
      </c>
      <c r="AW70" s="464"/>
      <c r="AX70" s="464">
        <f>AX69*3.13/1000</f>
        <v>1648.5553499999999</v>
      </c>
      <c r="AY70" s="464"/>
      <c r="AZ70" s="464">
        <f>AZ69*3.13/1000</f>
        <v>4.5421057600000001</v>
      </c>
      <c r="BA70" s="464"/>
      <c r="BB70" s="464"/>
      <c r="BC70" s="464"/>
      <c r="BD70" s="464"/>
      <c r="BE70" s="464"/>
      <c r="BF70" s="464"/>
      <c r="BG70" s="464"/>
      <c r="BH70" s="464"/>
      <c r="BI70" s="464"/>
      <c r="BJ70" s="464"/>
      <c r="BK70" s="464"/>
      <c r="BL70" s="464"/>
      <c r="BM70" s="464"/>
      <c r="BN70" s="464"/>
      <c r="BO70" s="464"/>
      <c r="BP70" s="464"/>
      <c r="BQ70" s="464"/>
      <c r="BR70" s="464"/>
      <c r="BS70" s="464"/>
      <c r="BT70" s="464"/>
      <c r="BU70" s="464"/>
    </row>
    <row r="71" spans="1:73" ht="14.25" x14ac:dyDescent="0.65">
      <c r="A71" s="883"/>
      <c r="B71" s="396" t="s">
        <v>211</v>
      </c>
      <c r="C71" s="397">
        <v>15416</v>
      </c>
      <c r="D71" s="398">
        <v>3529</v>
      </c>
      <c r="E71" s="399">
        <v>36.4</v>
      </c>
      <c r="F71" s="398">
        <v>4138</v>
      </c>
      <c r="G71" s="400">
        <f>SUM(C63:C71)</f>
        <v>135702</v>
      </c>
      <c r="H71" s="400">
        <f>SUM(D63:D71)</f>
        <v>33167</v>
      </c>
      <c r="I71" s="400">
        <f>SUM(E63:E71)</f>
        <v>357.5</v>
      </c>
      <c r="J71" s="400">
        <f>SUM(F63:F71)</f>
        <v>42645</v>
      </c>
      <c r="K71" s="886"/>
      <c r="L71" s="417">
        <f t="shared" si="22"/>
        <v>-0.51708799298311559</v>
      </c>
      <c r="M71" s="418">
        <f t="shared" si="23"/>
        <v>-0.22183020948180815</v>
      </c>
      <c r="N71" s="419">
        <f t="shared" si="24"/>
        <v>-0.3296500920810313</v>
      </c>
      <c r="O71" s="420">
        <f t="shared" si="25"/>
        <v>-0.63573943661971832</v>
      </c>
      <c r="P71" s="420">
        <f t="shared" si="26"/>
        <v>-0.51425707842645951</v>
      </c>
      <c r="Q71" s="420">
        <f t="shared" si="27"/>
        <v>-0.33939490509291531</v>
      </c>
      <c r="R71" s="420">
        <f t="shared" si="28"/>
        <v>-0.27278275020341736</v>
      </c>
      <c r="S71" s="420">
        <f t="shared" si="29"/>
        <v>-0.53863879783194313</v>
      </c>
      <c r="V71" s="50">
        <v>6946</v>
      </c>
      <c r="W71" s="50">
        <v>706</v>
      </c>
      <c r="AL71" s="50">
        <f t="shared" si="20"/>
        <v>2020.6923076923088</v>
      </c>
      <c r="AO71" s="50">
        <f t="shared" si="3"/>
        <v>2021.0833333333287</v>
      </c>
      <c r="AP71" s="202">
        <f t="shared" si="31"/>
        <v>-0.32486290638464549</v>
      </c>
      <c r="AQ71" s="202">
        <f t="shared" si="32"/>
        <v>-6.7964872088583428E-2</v>
      </c>
      <c r="AX71" s="788">
        <f>AY63/2*AZ63</f>
        <v>896170</v>
      </c>
    </row>
    <row r="72" spans="1:73" ht="14.25" x14ac:dyDescent="0.65">
      <c r="A72" s="883"/>
      <c r="B72" s="396" t="s">
        <v>213</v>
      </c>
      <c r="C72" s="397">
        <v>8561</v>
      </c>
      <c r="D72" s="398">
        <v>2733</v>
      </c>
      <c r="E72" s="399">
        <v>38</v>
      </c>
      <c r="F72" s="398">
        <v>4862</v>
      </c>
      <c r="G72" s="400">
        <f>SUM(C63:C72)</f>
        <v>144263</v>
      </c>
      <c r="H72" s="400">
        <f>SUM(D63:D72)</f>
        <v>35900</v>
      </c>
      <c r="I72" s="400">
        <f>SUM(E63:E72)</f>
        <v>395.5</v>
      </c>
      <c r="J72" s="400">
        <f>SUM(F63:F72)</f>
        <v>47507</v>
      </c>
      <c r="K72" s="886"/>
      <c r="L72" s="417">
        <f t="shared" si="22"/>
        <v>-0.70960957905091415</v>
      </c>
      <c r="M72" s="418">
        <f t="shared" si="23"/>
        <v>-0.39414763910441142</v>
      </c>
      <c r="N72" s="419">
        <f t="shared" si="24"/>
        <v>-0.29629629629629628</v>
      </c>
      <c r="O72" s="420">
        <f t="shared" si="25"/>
        <v>-0.58768656716417911</v>
      </c>
      <c r="P72" s="420">
        <f t="shared" si="26"/>
        <v>-0.53290421594879089</v>
      </c>
      <c r="Q72" s="420">
        <f t="shared" si="27"/>
        <v>-0.34390876859534342</v>
      </c>
      <c r="R72" s="420">
        <f t="shared" si="28"/>
        <v>-0.27510997067448667</v>
      </c>
      <c r="S72" s="420">
        <f t="shared" si="29"/>
        <v>-0.54418805468937392</v>
      </c>
      <c r="AL72" s="50">
        <f t="shared" si="20"/>
        <v>2020.7692307692319</v>
      </c>
      <c r="AO72" s="50">
        <f t="shared" si="3"/>
        <v>2021.166666666662</v>
      </c>
      <c r="AP72" s="202">
        <f t="shared" si="31"/>
        <v>-0.24728643444298107</v>
      </c>
      <c r="AQ72" s="202">
        <f t="shared" si="32"/>
        <v>-0.20123022847100175</v>
      </c>
      <c r="AX72" s="788">
        <f>AX71*3.13/1000</f>
        <v>2805.0120999999999</v>
      </c>
    </row>
    <row r="73" spans="1:73" ht="14.25" x14ac:dyDescent="0.65">
      <c r="A73" s="883"/>
      <c r="B73" s="396" t="s">
        <v>216</v>
      </c>
      <c r="C73" s="397">
        <v>7638</v>
      </c>
      <c r="D73" s="398">
        <v>2277</v>
      </c>
      <c r="E73" s="399">
        <v>34</v>
      </c>
      <c r="F73" s="398">
        <v>4020</v>
      </c>
      <c r="G73" s="400">
        <f>SUM(C63:C73)</f>
        <v>151901</v>
      </c>
      <c r="H73" s="400">
        <f>SUM(D63:D73)</f>
        <v>38177</v>
      </c>
      <c r="I73" s="400">
        <f>SUM(E63:E73)</f>
        <v>429.5</v>
      </c>
      <c r="J73" s="400">
        <f>SUM(F63:F73)</f>
        <v>51527</v>
      </c>
      <c r="K73" s="886"/>
      <c r="L73" s="417">
        <f t="shared" si="22"/>
        <v>-0.70383869716944547</v>
      </c>
      <c r="M73" s="418">
        <f t="shared" si="23"/>
        <v>-0.56636831079794325</v>
      </c>
      <c r="N73" s="419">
        <f t="shared" si="24"/>
        <v>-0.32</v>
      </c>
      <c r="O73" s="420">
        <f t="shared" si="25"/>
        <v>-0.6154214101214962</v>
      </c>
      <c r="P73" s="420">
        <f t="shared" si="26"/>
        <v>-0.54607773703760154</v>
      </c>
      <c r="Q73" s="420">
        <f t="shared" si="27"/>
        <v>-0.36338775033767445</v>
      </c>
      <c r="R73" s="420">
        <f t="shared" si="28"/>
        <v>-0.27887844190732025</v>
      </c>
      <c r="S73" s="420">
        <f t="shared" si="29"/>
        <v>-0.55068103733933271</v>
      </c>
      <c r="AL73" s="50">
        <f t="shared" si="20"/>
        <v>2020.8461538461549</v>
      </c>
      <c r="AO73" s="50">
        <f t="shared" si="3"/>
        <v>2021.2499999999952</v>
      </c>
      <c r="AP73" s="202">
        <f t="shared" si="31"/>
        <v>0.50326222417711308</v>
      </c>
      <c r="AQ73" s="202">
        <f t="shared" si="32"/>
        <v>0.10519377801212761</v>
      </c>
    </row>
    <row r="74" spans="1:73" ht="15" thickBot="1" x14ac:dyDescent="0.8">
      <c r="A74" s="896"/>
      <c r="B74" s="404" t="s">
        <v>217</v>
      </c>
      <c r="C74" s="405">
        <v>12313</v>
      </c>
      <c r="D74" s="406">
        <v>2384</v>
      </c>
      <c r="E74" s="407">
        <v>51</v>
      </c>
      <c r="F74" s="408">
        <v>4389</v>
      </c>
      <c r="G74" s="400">
        <f>SUM(C63:C74)</f>
        <v>164214</v>
      </c>
      <c r="H74" s="400">
        <f>SUM(D63:D74)</f>
        <v>40561</v>
      </c>
      <c r="I74" s="400">
        <f>SUM(E63:E74)</f>
        <v>480.5</v>
      </c>
      <c r="J74" s="400">
        <f>SUM(F63:F74)</f>
        <v>55916</v>
      </c>
      <c r="K74" s="886"/>
      <c r="L74" s="421">
        <f t="shared" si="22"/>
        <v>-0.43484646807729382</v>
      </c>
      <c r="M74" s="422">
        <f t="shared" si="23"/>
        <v>-0.11342506507995537</v>
      </c>
      <c r="N74" s="423">
        <f t="shared" si="24"/>
        <v>-0.1206896551724138</v>
      </c>
      <c r="O74" s="424">
        <f t="shared" si="25"/>
        <v>-0.53682988602785986</v>
      </c>
      <c r="P74" s="424">
        <f t="shared" si="26"/>
        <v>-0.53927862008596406</v>
      </c>
      <c r="Q74" s="424">
        <f t="shared" si="27"/>
        <v>-0.35266047432091674</v>
      </c>
      <c r="R74" s="424">
        <f t="shared" si="28"/>
        <v>-0.26484088127294969</v>
      </c>
      <c r="S74" s="424">
        <f t="shared" si="29"/>
        <v>-0.54962385424553373</v>
      </c>
      <c r="AP74" s="202"/>
    </row>
    <row r="75" spans="1:73" ht="15" thickBot="1" x14ac:dyDescent="0.75">
      <c r="A75" s="409" t="s">
        <v>21</v>
      </c>
      <c r="B75" s="425">
        <v>2020</v>
      </c>
      <c r="C75" s="411">
        <f>SUM(C63:C74)</f>
        <v>164214</v>
      </c>
      <c r="D75" s="411">
        <f>SUM(D63:D74)</f>
        <v>40561</v>
      </c>
      <c r="E75" s="411">
        <f>SUM(E63:E74)</f>
        <v>480.5</v>
      </c>
      <c r="F75" s="411">
        <f>SUM(F63:F74)</f>
        <v>55916</v>
      </c>
      <c r="G75" s="412">
        <f>G67</f>
        <v>66619</v>
      </c>
      <c r="H75" s="412">
        <f>H67</f>
        <v>15275</v>
      </c>
      <c r="I75" s="412">
        <f>I67</f>
        <v>197</v>
      </c>
      <c r="J75" s="412">
        <f>J67</f>
        <v>28929</v>
      </c>
      <c r="K75" s="887"/>
      <c r="L75" s="426">
        <f t="shared" si="22"/>
        <v>-0.53927862008596406</v>
      </c>
      <c r="M75" s="426">
        <f t="shared" si="23"/>
        <v>-0.35266047432091674</v>
      </c>
      <c r="N75" s="427">
        <f t="shared" si="24"/>
        <v>-0.26484088127294969</v>
      </c>
      <c r="O75" s="428">
        <f t="shared" si="25"/>
        <v>-0.54962385424553373</v>
      </c>
      <c r="P75" s="428">
        <f t="shared" si="26"/>
        <v>-0.51931568921727089</v>
      </c>
      <c r="Q75" s="428">
        <f t="shared" si="27"/>
        <v>-0.43381889617850922</v>
      </c>
      <c r="R75" s="428">
        <f t="shared" si="28"/>
        <v>-0.26492537313432835</v>
      </c>
      <c r="S75" s="428">
        <f t="shared" si="29"/>
        <v>-0.35352745312744421</v>
      </c>
    </row>
    <row r="76" spans="1:73" ht="14.25" x14ac:dyDescent="0.65">
      <c r="A76" s="883">
        <v>2021</v>
      </c>
      <c r="B76" s="388" t="s">
        <v>191</v>
      </c>
      <c r="C76" s="389">
        <v>13789</v>
      </c>
      <c r="D76" s="390">
        <v>2441</v>
      </c>
      <c r="E76" s="391">
        <v>31</v>
      </c>
      <c r="F76" s="390">
        <v>3737</v>
      </c>
      <c r="G76" s="392">
        <f>C76</f>
        <v>13789</v>
      </c>
      <c r="H76" s="392">
        <f>D76</f>
        <v>2441</v>
      </c>
      <c r="I76" s="392">
        <f>E76</f>
        <v>31</v>
      </c>
      <c r="J76" s="392">
        <f>F76</f>
        <v>3737</v>
      </c>
      <c r="K76" s="885" t="s">
        <v>277</v>
      </c>
      <c r="L76" s="415">
        <f t="shared" si="22"/>
        <v>-0.32486290638464549</v>
      </c>
      <c r="M76" s="415">
        <f t="shared" si="23"/>
        <v>-6.7964872088583428E-2</v>
      </c>
      <c r="N76" s="415">
        <f t="shared" si="24"/>
        <v>-0.27906976744186046</v>
      </c>
      <c r="O76" s="416">
        <f t="shared" si="25"/>
        <v>-0.58988147497805088</v>
      </c>
      <c r="P76" s="416">
        <f t="shared" si="26"/>
        <v>-0.32486290638464549</v>
      </c>
      <c r="Q76" s="416">
        <f t="shared" si="27"/>
        <v>-6.7964872088583428E-2</v>
      </c>
      <c r="R76" s="416">
        <f t="shared" si="28"/>
        <v>-0.27906976744186046</v>
      </c>
      <c r="S76" s="416">
        <f t="shared" si="29"/>
        <v>-0.58988147497805088</v>
      </c>
      <c r="V76" s="429" t="s">
        <v>270</v>
      </c>
      <c r="W76" s="255"/>
      <c r="X76" s="255"/>
      <c r="Y76" s="255"/>
    </row>
    <row r="77" spans="1:73" ht="14.25" x14ac:dyDescent="0.65">
      <c r="A77" s="883"/>
      <c r="B77" s="396" t="s">
        <v>195</v>
      </c>
      <c r="C77" s="397">
        <v>16574</v>
      </c>
      <c r="D77" s="398">
        <v>2727</v>
      </c>
      <c r="E77" s="399">
        <v>36</v>
      </c>
      <c r="F77" s="398">
        <v>3586</v>
      </c>
      <c r="G77" s="400">
        <f>SUM(C76:C77)</f>
        <v>30363</v>
      </c>
      <c r="H77" s="400">
        <f>SUM(D76:D77)</f>
        <v>5168</v>
      </c>
      <c r="I77" s="400">
        <f>SUM(E76:E77)</f>
        <v>67</v>
      </c>
      <c r="J77" s="400">
        <f>SUM(F76:F77)</f>
        <v>7323</v>
      </c>
      <c r="K77" s="886"/>
      <c r="L77" s="417">
        <f t="shared" si="22"/>
        <v>-0.24728643444298107</v>
      </c>
      <c r="M77" s="418">
        <f t="shared" si="23"/>
        <v>-0.20123022847100175</v>
      </c>
      <c r="N77" s="419">
        <f t="shared" si="24"/>
        <v>-0.2</v>
      </c>
      <c r="O77" s="420">
        <f t="shared" si="25"/>
        <v>-0.64032096288866602</v>
      </c>
      <c r="P77" s="420">
        <f t="shared" si="26"/>
        <v>-0.28461701576231652</v>
      </c>
      <c r="Q77" s="420">
        <f t="shared" si="27"/>
        <v>-0.1433780871871374</v>
      </c>
      <c r="R77" s="420">
        <f t="shared" si="28"/>
        <v>-0.23863636363636365</v>
      </c>
      <c r="S77" s="420">
        <f t="shared" si="29"/>
        <v>-0.61623519547217276</v>
      </c>
      <c r="U77" s="50">
        <v>2016</v>
      </c>
      <c r="V77" s="112">
        <f t="shared" ref="V77:V82" si="33">INDEX($C$9:$F$88,MATCH($U77,$B$9:$B$88,0),MATCH(V$76,$C$9:$F$9,0))</f>
        <v>63732</v>
      </c>
      <c r="W77" s="112"/>
      <c r="X77" s="112"/>
      <c r="Y77" s="112"/>
    </row>
    <row r="78" spans="1:73" ht="14.25" x14ac:dyDescent="0.65">
      <c r="A78" s="883"/>
      <c r="B78" s="396" t="s">
        <v>15</v>
      </c>
      <c r="C78" s="397">
        <v>20506</v>
      </c>
      <c r="D78" s="398">
        <v>4192</v>
      </c>
      <c r="E78" s="399">
        <v>36</v>
      </c>
      <c r="F78" s="398">
        <v>4334</v>
      </c>
      <c r="G78" s="400">
        <f>SUM(C76:C78)</f>
        <v>50869</v>
      </c>
      <c r="H78" s="400">
        <f>SUM(D76:D78)</f>
        <v>9360</v>
      </c>
      <c r="I78" s="400">
        <f>SUM(E76:E78)</f>
        <v>103</v>
      </c>
      <c r="J78" s="400">
        <f>SUM(F76:F78)</f>
        <v>11657</v>
      </c>
      <c r="K78" s="886"/>
      <c r="L78" s="417">
        <f t="shared" si="22"/>
        <v>0.50326222417711308</v>
      </c>
      <c r="M78" s="418">
        <f t="shared" si="23"/>
        <v>0.10519377801212761</v>
      </c>
      <c r="N78" s="419">
        <f t="shared" si="24"/>
        <v>-0.14285714285714285</v>
      </c>
      <c r="O78" s="420">
        <f t="shared" si="25"/>
        <v>-0.36628162011990056</v>
      </c>
      <c r="P78" s="420">
        <f t="shared" si="26"/>
        <v>-9.2985521717423858E-2</v>
      </c>
      <c r="Q78" s="420">
        <f t="shared" si="27"/>
        <v>-4.7425198453083656E-2</v>
      </c>
      <c r="R78" s="420">
        <f t="shared" si="28"/>
        <v>-0.2076923076923077</v>
      </c>
      <c r="S78" s="420">
        <f t="shared" si="29"/>
        <v>-0.55028741175108986</v>
      </c>
      <c r="U78" s="50">
        <v>2017</v>
      </c>
      <c r="V78" s="112">
        <f t="shared" si="33"/>
        <v>64656</v>
      </c>
      <c r="W78" s="112"/>
      <c r="X78" s="112"/>
      <c r="Y78" s="112"/>
    </row>
    <row r="79" spans="1:73" ht="14.25" x14ac:dyDescent="0.65">
      <c r="A79" s="883"/>
      <c r="B79" s="396" t="s">
        <v>16</v>
      </c>
      <c r="C79" s="397">
        <v>16726</v>
      </c>
      <c r="D79" s="398">
        <v>4749</v>
      </c>
      <c r="E79" s="399">
        <v>41.2</v>
      </c>
      <c r="F79" s="398">
        <v>4571</v>
      </c>
      <c r="G79" s="400">
        <f>SUM(C76:C79)</f>
        <v>67595</v>
      </c>
      <c r="H79" s="400">
        <f>SUM(D76:D79)</f>
        <v>14109</v>
      </c>
      <c r="I79" s="400">
        <f>SUM(E76:E79)</f>
        <v>144.19999999999999</v>
      </c>
      <c r="J79" s="400">
        <f>SUM(F76:F79)</f>
        <v>16228</v>
      </c>
      <c r="K79" s="886"/>
      <c r="L79" s="417">
        <f t="shared" si="22"/>
        <v>4.610868835961087</v>
      </c>
      <c r="M79" s="418">
        <f t="shared" si="23"/>
        <v>2.0095057034220534</v>
      </c>
      <c r="N79" s="419">
        <f t="shared" si="24"/>
        <v>0.36423841059602663</v>
      </c>
      <c r="O79" s="420">
        <f t="shared" si="25"/>
        <v>2.5297297297297296</v>
      </c>
      <c r="P79" s="420">
        <f t="shared" si="26"/>
        <v>0.14441716752730044</v>
      </c>
      <c r="Q79" s="420">
        <f t="shared" si="27"/>
        <v>0.23719747457032619</v>
      </c>
      <c r="R79" s="420">
        <f t="shared" si="28"/>
        <v>-9.9875156054931344E-2</v>
      </c>
      <c r="S79" s="420">
        <f t="shared" si="29"/>
        <v>-0.4037330981775426</v>
      </c>
      <c r="U79" s="50">
        <v>2018</v>
      </c>
      <c r="V79" s="112">
        <f t="shared" si="33"/>
        <v>61220</v>
      </c>
      <c r="W79" s="112"/>
      <c r="X79" s="112"/>
      <c r="Y79" s="112"/>
    </row>
    <row r="80" spans="1:73" ht="14.25" x14ac:dyDescent="0.65">
      <c r="A80" s="883"/>
      <c r="B80" s="396" t="s">
        <v>17</v>
      </c>
      <c r="C80" s="397">
        <v>24763</v>
      </c>
      <c r="D80" s="398">
        <v>7981</v>
      </c>
      <c r="E80" s="399">
        <v>48.5</v>
      </c>
      <c r="F80" s="398">
        <v>4788</v>
      </c>
      <c r="G80" s="400">
        <f>SUM(C76:C80)</f>
        <v>92358</v>
      </c>
      <c r="H80" s="400">
        <f>SUM(D76:D80)</f>
        <v>22090</v>
      </c>
      <c r="I80" s="400">
        <f>SUM(E76:E80)</f>
        <v>192.7</v>
      </c>
      <c r="J80" s="400">
        <f>SUM(F76:F80)</f>
        <v>21016</v>
      </c>
      <c r="K80" s="886"/>
      <c r="L80" s="417">
        <f t="shared" si="22"/>
        <v>2.2781307916335716</v>
      </c>
      <c r="M80" s="418">
        <f t="shared" si="23"/>
        <v>1.0617411521570654</v>
      </c>
      <c r="N80" s="419">
        <f t="shared" si="24"/>
        <v>0.31793478260869573</v>
      </c>
      <c r="O80" s="420">
        <f t="shared" si="25"/>
        <v>1.7950963222416814</v>
      </c>
      <c r="P80" s="420">
        <f t="shared" si="26"/>
        <v>0.38636124829252916</v>
      </c>
      <c r="Q80" s="420">
        <f t="shared" si="27"/>
        <v>0.44615384615384618</v>
      </c>
      <c r="R80" s="420">
        <f t="shared" si="28"/>
        <v>-2.1827411167512748E-2</v>
      </c>
      <c r="S80" s="420">
        <f t="shared" si="29"/>
        <v>-0.27353175014691139</v>
      </c>
      <c r="U80" s="50">
        <v>2019</v>
      </c>
      <c r="V80" s="112">
        <f t="shared" si="33"/>
        <v>62658</v>
      </c>
      <c r="W80" s="112"/>
      <c r="X80" s="112"/>
      <c r="Y80" s="112"/>
    </row>
    <row r="81" spans="1:25" ht="14.25" x14ac:dyDescent="0.65">
      <c r="A81" s="883"/>
      <c r="B81" s="396" t="s">
        <v>18</v>
      </c>
      <c r="C81" s="397">
        <v>0</v>
      </c>
      <c r="D81" s="398">
        <v>0</v>
      </c>
      <c r="E81" s="399">
        <v>0</v>
      </c>
      <c r="F81" s="398">
        <v>0</v>
      </c>
      <c r="G81" s="400">
        <f>SUM(C76:C81)</f>
        <v>92358</v>
      </c>
      <c r="H81" s="400">
        <f>SUM(D76:D81)</f>
        <v>22090</v>
      </c>
      <c r="I81" s="400">
        <f>SUM(E76:E81)</f>
        <v>192.7</v>
      </c>
      <c r="J81" s="400">
        <f>SUM(F76:F81)</f>
        <v>21016</v>
      </c>
      <c r="K81" s="886"/>
      <c r="L81" s="417">
        <f t="shared" si="22"/>
        <v>-1</v>
      </c>
      <c r="M81" s="418">
        <f t="shared" si="23"/>
        <v>-1</v>
      </c>
      <c r="N81" s="419">
        <f t="shared" si="24"/>
        <v>-1</v>
      </c>
      <c r="O81" s="420">
        <f t="shared" si="25"/>
        <v>-1</v>
      </c>
      <c r="P81" s="420">
        <f t="shared" si="26"/>
        <v>0.11234493556545827</v>
      </c>
      <c r="Q81" s="420">
        <f t="shared" si="27"/>
        <v>0.14278323848939473</v>
      </c>
      <c r="R81" s="420">
        <f t="shared" si="28"/>
        <v>-0.18691983122362874</v>
      </c>
      <c r="S81" s="420">
        <f t="shared" si="29"/>
        <v>-0.33350247367753394</v>
      </c>
      <c r="U81" s="50">
        <v>2020</v>
      </c>
      <c r="V81" s="112">
        <f t="shared" si="33"/>
        <v>40561</v>
      </c>
      <c r="W81" s="112"/>
      <c r="X81" s="112"/>
      <c r="Y81" s="112"/>
    </row>
    <row r="82" spans="1:25" ht="14.25" x14ac:dyDescent="0.65">
      <c r="A82" s="883"/>
      <c r="B82" s="396" t="s">
        <v>19</v>
      </c>
      <c r="C82" s="397">
        <v>0</v>
      </c>
      <c r="D82" s="398">
        <v>0</v>
      </c>
      <c r="E82" s="399">
        <v>0</v>
      </c>
      <c r="F82" s="398">
        <v>0</v>
      </c>
      <c r="G82" s="400">
        <f>SUM(C76:C82)</f>
        <v>92358</v>
      </c>
      <c r="H82" s="400">
        <f>SUM(D76:D82)</f>
        <v>22090</v>
      </c>
      <c r="I82" s="400">
        <f>SUM(E76:E82)</f>
        <v>192.7</v>
      </c>
      <c r="J82" s="400">
        <f>SUM(F76:F82)</f>
        <v>21016</v>
      </c>
      <c r="K82" s="886"/>
      <c r="L82" s="417">
        <f t="shared" si="22"/>
        <v>-1</v>
      </c>
      <c r="M82" s="418">
        <f t="shared" si="23"/>
        <v>-1</v>
      </c>
      <c r="N82" s="419">
        <f t="shared" si="24"/>
        <v>-1</v>
      </c>
      <c r="O82" s="420">
        <f t="shared" si="25"/>
        <v>-1</v>
      </c>
      <c r="P82" s="420">
        <f t="shared" si="26"/>
        <v>-0.10670277589708869</v>
      </c>
      <c r="Q82" s="420">
        <f t="shared" si="27"/>
        <v>-0.11816367265469062</v>
      </c>
      <c r="R82" s="420">
        <f t="shared" si="28"/>
        <v>-0.31374643874643882</v>
      </c>
      <c r="S82" s="420">
        <f t="shared" si="29"/>
        <v>-0.39527522803786724</v>
      </c>
      <c r="U82" s="50">
        <v>2021</v>
      </c>
      <c r="V82" s="112">
        <f t="shared" si="33"/>
        <v>22090</v>
      </c>
      <c r="W82" s="112"/>
      <c r="X82" s="112"/>
      <c r="Y82" s="112"/>
    </row>
    <row r="83" spans="1:25" ht="14.25" x14ac:dyDescent="0.65">
      <c r="A83" s="883"/>
      <c r="B83" s="396" t="s">
        <v>20</v>
      </c>
      <c r="C83" s="397">
        <v>0</v>
      </c>
      <c r="D83" s="398">
        <v>0</v>
      </c>
      <c r="E83" s="399">
        <v>0</v>
      </c>
      <c r="F83" s="398">
        <v>0</v>
      </c>
      <c r="G83" s="400">
        <f>SUM(C76:C83)</f>
        <v>92358</v>
      </c>
      <c r="H83" s="400">
        <f>SUM(D76:D83)</f>
        <v>22090</v>
      </c>
      <c r="I83" s="400">
        <f>SUM(E76:E83)</f>
        <v>192.7</v>
      </c>
      <c r="J83" s="400">
        <f>SUM(F76:F83)</f>
        <v>21016</v>
      </c>
      <c r="K83" s="886"/>
      <c r="L83" s="417">
        <f t="shared" si="22"/>
        <v>-1</v>
      </c>
      <c r="M83" s="418">
        <f t="shared" si="23"/>
        <v>-1</v>
      </c>
      <c r="N83" s="419">
        <f t="shared" si="24"/>
        <v>-1</v>
      </c>
      <c r="O83" s="420">
        <f t="shared" si="25"/>
        <v>-1</v>
      </c>
      <c r="P83" s="420">
        <f t="shared" si="26"/>
        <v>-0.23217997106895233</v>
      </c>
      <c r="Q83" s="420">
        <f t="shared" si="27"/>
        <v>-0.25467305486200148</v>
      </c>
      <c r="R83" s="420">
        <f t="shared" si="28"/>
        <v>-0.39987542821550925</v>
      </c>
      <c r="S83" s="420">
        <f t="shared" si="29"/>
        <v>-0.4542291012023788</v>
      </c>
    </row>
    <row r="84" spans="1:25" ht="14.25" x14ac:dyDescent="0.65">
      <c r="A84" s="883"/>
      <c r="B84" s="396" t="s">
        <v>211</v>
      </c>
      <c r="C84" s="397">
        <v>0</v>
      </c>
      <c r="D84" s="398">
        <v>0</v>
      </c>
      <c r="E84" s="399">
        <v>0</v>
      </c>
      <c r="F84" s="398">
        <v>0</v>
      </c>
      <c r="G84" s="400">
        <f>SUM(C76:C84)</f>
        <v>92358</v>
      </c>
      <c r="H84" s="400">
        <f>SUM(D76:D84)</f>
        <v>22090</v>
      </c>
      <c r="I84" s="400">
        <f>SUM(E76:E84)</f>
        <v>192.7</v>
      </c>
      <c r="J84" s="400">
        <f>SUM(F76:F84)</f>
        <v>21016</v>
      </c>
      <c r="K84" s="886"/>
      <c r="L84" s="417">
        <f t="shared" si="22"/>
        <v>-1</v>
      </c>
      <c r="M84" s="418">
        <f t="shared" si="23"/>
        <v>-1</v>
      </c>
      <c r="N84" s="419">
        <f t="shared" si="24"/>
        <v>-1</v>
      </c>
      <c r="O84" s="420">
        <f t="shared" si="25"/>
        <v>-1</v>
      </c>
      <c r="P84" s="420">
        <f t="shared" si="26"/>
        <v>-0.31940575673166205</v>
      </c>
      <c r="Q84" s="420">
        <f t="shared" si="27"/>
        <v>-0.33397654294931711</v>
      </c>
      <c r="R84" s="420">
        <f t="shared" si="28"/>
        <v>-0.46097902097902099</v>
      </c>
      <c r="S84" s="420">
        <f t="shared" si="29"/>
        <v>-0.50718724352210109</v>
      </c>
    </row>
    <row r="85" spans="1:25" ht="14.25" x14ac:dyDescent="0.65">
      <c r="A85" s="883"/>
      <c r="B85" s="396" t="s">
        <v>213</v>
      </c>
      <c r="C85" s="397">
        <v>0</v>
      </c>
      <c r="D85" s="398">
        <v>0</v>
      </c>
      <c r="E85" s="399">
        <v>0</v>
      </c>
      <c r="F85" s="398">
        <v>0</v>
      </c>
      <c r="G85" s="400">
        <f>SUM(C76:C85)</f>
        <v>92358</v>
      </c>
      <c r="H85" s="400">
        <f>SUM(D76:D85)</f>
        <v>22090</v>
      </c>
      <c r="I85" s="400">
        <f>SUM(E76:E85)</f>
        <v>192.7</v>
      </c>
      <c r="J85" s="400">
        <f>SUM(F76:F85)</f>
        <v>21016</v>
      </c>
      <c r="K85" s="886"/>
      <c r="L85" s="417">
        <f t="shared" si="22"/>
        <v>-1</v>
      </c>
      <c r="M85" s="418">
        <f t="shared" si="23"/>
        <v>-1</v>
      </c>
      <c r="N85" s="419">
        <f t="shared" si="24"/>
        <v>-1</v>
      </c>
      <c r="O85" s="420">
        <f t="shared" si="25"/>
        <v>-1</v>
      </c>
      <c r="P85" s="420">
        <f t="shared" si="26"/>
        <v>-0.35979426464166142</v>
      </c>
      <c r="Q85" s="420">
        <f t="shared" si="27"/>
        <v>-0.38467966573816154</v>
      </c>
      <c r="R85" s="420">
        <f t="shared" si="28"/>
        <v>-0.51276864728192162</v>
      </c>
      <c r="S85" s="420">
        <f t="shared" si="29"/>
        <v>-0.55762308712400277</v>
      </c>
    </row>
    <row r="86" spans="1:25" ht="14.25" x14ac:dyDescent="0.65">
      <c r="A86" s="883"/>
      <c r="B86" s="396" t="s">
        <v>216</v>
      </c>
      <c r="C86" s="397">
        <v>0</v>
      </c>
      <c r="D86" s="398">
        <v>0</v>
      </c>
      <c r="E86" s="399">
        <v>0</v>
      </c>
      <c r="F86" s="398">
        <v>0</v>
      </c>
      <c r="G86" s="400">
        <f>SUM(C76:C86)</f>
        <v>92358</v>
      </c>
      <c r="H86" s="400">
        <f>SUM(D76:D86)</f>
        <v>22090</v>
      </c>
      <c r="I86" s="400">
        <f>SUM(E76:E86)</f>
        <v>192.7</v>
      </c>
      <c r="J86" s="400">
        <f>SUM(F76:F86)</f>
        <v>21016</v>
      </c>
      <c r="K86" s="886"/>
      <c r="L86" s="417">
        <f t="shared" si="22"/>
        <v>-1</v>
      </c>
      <c r="M86" s="418">
        <f t="shared" si="23"/>
        <v>-1</v>
      </c>
      <c r="N86" s="419">
        <f t="shared" si="24"/>
        <v>-1</v>
      </c>
      <c r="O86" s="420">
        <f t="shared" si="25"/>
        <v>-1</v>
      </c>
      <c r="P86" s="420">
        <f t="shared" si="26"/>
        <v>-0.39198556954858754</v>
      </c>
      <c r="Q86" s="420">
        <f t="shared" si="27"/>
        <v>-0.42137936453885849</v>
      </c>
      <c r="R86" s="420">
        <f t="shared" si="28"/>
        <v>-0.55133876600698484</v>
      </c>
      <c r="S86" s="420">
        <f t="shared" si="29"/>
        <v>-0.59213616162400295</v>
      </c>
    </row>
    <row r="87" spans="1:25" ht="15" thickBot="1" x14ac:dyDescent="0.8">
      <c r="A87" s="896"/>
      <c r="B87" s="404" t="s">
        <v>217</v>
      </c>
      <c r="C87" s="405">
        <v>0</v>
      </c>
      <c r="D87" s="406">
        <v>0</v>
      </c>
      <c r="E87" s="407">
        <v>0</v>
      </c>
      <c r="F87" s="408">
        <v>0</v>
      </c>
      <c r="G87" s="400">
        <f>SUM(C76:C87)</f>
        <v>92358</v>
      </c>
      <c r="H87" s="400">
        <f>SUM(D76:D87)</f>
        <v>22090</v>
      </c>
      <c r="I87" s="400">
        <f>SUM(E76:E87)</f>
        <v>192.7</v>
      </c>
      <c r="J87" s="400">
        <f>SUM(F76:F87)</f>
        <v>21016</v>
      </c>
      <c r="K87" s="886"/>
      <c r="L87" s="421">
        <f t="shared" si="22"/>
        <v>-1</v>
      </c>
      <c r="M87" s="422">
        <f t="shared" si="23"/>
        <v>-1</v>
      </c>
      <c r="N87" s="423">
        <f t="shared" si="24"/>
        <v>-1</v>
      </c>
      <c r="O87" s="424">
        <f t="shared" si="25"/>
        <v>-1</v>
      </c>
      <c r="P87" s="424">
        <f t="shared" si="26"/>
        <v>-0.43757535898279076</v>
      </c>
      <c r="Q87" s="424">
        <f t="shared" si="27"/>
        <v>-0.45538818076477405</v>
      </c>
      <c r="R87" s="424">
        <f t="shared" si="28"/>
        <v>-0.5989594172736733</v>
      </c>
      <c r="S87" s="424">
        <f t="shared" si="29"/>
        <v>-0.62415051148150802</v>
      </c>
    </row>
    <row r="88" spans="1:25" ht="15" thickBot="1" x14ac:dyDescent="0.75">
      <c r="A88" s="409" t="s">
        <v>21</v>
      </c>
      <c r="B88" s="425">
        <v>2021</v>
      </c>
      <c r="C88" s="411">
        <f>SUM(C76:C87)</f>
        <v>92358</v>
      </c>
      <c r="D88" s="411">
        <f>SUM(D76:D87)</f>
        <v>22090</v>
      </c>
      <c r="E88" s="411">
        <f>SUM(E76:E87)</f>
        <v>192.7</v>
      </c>
      <c r="F88" s="411">
        <f>SUM(F76:F87)</f>
        <v>21016</v>
      </c>
      <c r="G88" s="412">
        <f>G80</f>
        <v>92358</v>
      </c>
      <c r="H88" s="412">
        <f>H80</f>
        <v>22090</v>
      </c>
      <c r="I88" s="412">
        <f>I80</f>
        <v>192.7</v>
      </c>
      <c r="J88" s="412">
        <f>J80</f>
        <v>21016</v>
      </c>
      <c r="K88" s="887"/>
      <c r="L88" s="426">
        <f t="shared" ref="L88:S88" si="34">(C88-C75)/C75</f>
        <v>-0.43757535898279076</v>
      </c>
      <c r="M88" s="426">
        <f t="shared" si="34"/>
        <v>-0.45538818076477405</v>
      </c>
      <c r="N88" s="427">
        <f t="shared" si="34"/>
        <v>-0.5989594172736733</v>
      </c>
      <c r="O88" s="428">
        <f t="shared" si="34"/>
        <v>-0.62415051148150802</v>
      </c>
      <c r="P88" s="428">
        <f t="shared" si="34"/>
        <v>0.38636124829252916</v>
      </c>
      <c r="Q88" s="428">
        <f t="shared" si="34"/>
        <v>0.44615384615384618</v>
      </c>
      <c r="R88" s="428">
        <f t="shared" si="34"/>
        <v>-2.1827411167512748E-2</v>
      </c>
      <c r="S88" s="428">
        <f t="shared" si="34"/>
        <v>-0.27353175014691139</v>
      </c>
    </row>
  </sheetData>
  <mergeCells count="39">
    <mergeCell ref="A76:A87"/>
    <mergeCell ref="K76:K88"/>
    <mergeCell ref="A63:A74"/>
    <mergeCell ref="K63:K75"/>
    <mergeCell ref="A4:O4"/>
    <mergeCell ref="A5:B7"/>
    <mergeCell ref="C5:O5"/>
    <mergeCell ref="H6:H8"/>
    <mergeCell ref="K6:S6"/>
    <mergeCell ref="L8:N8"/>
    <mergeCell ref="A8:B8"/>
    <mergeCell ref="A50:A61"/>
    <mergeCell ref="K50:K62"/>
    <mergeCell ref="C10:F10"/>
    <mergeCell ref="A11:A22"/>
    <mergeCell ref="A24:A35"/>
    <mergeCell ref="K24:K36"/>
    <mergeCell ref="BR8:BR9"/>
    <mergeCell ref="BS8:BS9"/>
    <mergeCell ref="L10:O10"/>
    <mergeCell ref="A37:A48"/>
    <mergeCell ref="K37:K49"/>
    <mergeCell ref="BE10:BG10"/>
    <mergeCell ref="AW11:AW20"/>
    <mergeCell ref="AW22:AW31"/>
    <mergeCell ref="BD22:BD32"/>
    <mergeCell ref="AW33:AW42"/>
    <mergeCell ref="BD33:BD43"/>
    <mergeCell ref="AW44:AW53"/>
    <mergeCell ref="BD44:BD54"/>
    <mergeCell ref="AW55:AW64"/>
    <mergeCell ref="BD55:BD65"/>
    <mergeCell ref="BN7:BQ7"/>
    <mergeCell ref="BQ8:BQ9"/>
    <mergeCell ref="AW5:AX7"/>
    <mergeCell ref="AY5:BG5"/>
    <mergeCell ref="BD6:BI6"/>
    <mergeCell ref="AW8:AX8"/>
    <mergeCell ref="BE8:BG8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58A8-CE47-4185-B369-BBF180086854}">
  <dimension ref="A3:AM74"/>
  <sheetViews>
    <sheetView topLeftCell="Y1" zoomScale="85" zoomScaleNormal="85" workbookViewId="0">
      <selection activeCell="AM13" sqref="AM13"/>
    </sheetView>
  </sheetViews>
  <sheetFormatPr defaultColWidth="9.1328125" defaultRowHeight="13" x14ac:dyDescent="0.6"/>
  <cols>
    <col min="1" max="2" width="9.1328125" style="50"/>
    <col min="3" max="4" width="11.26953125" style="50" customWidth="1"/>
    <col min="5" max="12" width="9.1328125" style="50"/>
    <col min="13" max="13" width="11.40625" style="50" bestFit="1" customWidth="1"/>
    <col min="14" max="14" width="12.7265625" style="50" customWidth="1"/>
    <col min="15" max="15" width="15" style="50" bestFit="1" customWidth="1"/>
    <col min="16" max="16" width="13.7265625" style="50" customWidth="1"/>
    <col min="17" max="18" width="9.1328125" style="50"/>
    <col min="19" max="19" width="11.86328125" style="50" bestFit="1" customWidth="1"/>
    <col min="20" max="21" width="9.1328125" style="50"/>
    <col min="22" max="22" width="10.86328125" style="50" bestFit="1" customWidth="1"/>
    <col min="23" max="16384" width="9.1328125" style="50"/>
  </cols>
  <sheetData>
    <row r="3" spans="1:39" ht="17.5" thickBot="1" x14ac:dyDescent="0.9">
      <c r="A3" s="901" t="s">
        <v>266</v>
      </c>
      <c r="B3" s="901"/>
      <c r="C3" s="901"/>
      <c r="D3" s="901"/>
      <c r="E3" s="901"/>
      <c r="F3" s="901"/>
      <c r="G3" s="901"/>
      <c r="H3" s="901"/>
      <c r="I3" s="351"/>
    </row>
    <row r="4" spans="1:39" ht="25.25" x14ac:dyDescent="1.05">
      <c r="A4" s="902"/>
      <c r="B4" s="903"/>
      <c r="C4" s="908" t="s">
        <v>517</v>
      </c>
      <c r="D4" s="909"/>
      <c r="E4" s="909"/>
      <c r="F4" s="909"/>
      <c r="G4" s="909"/>
      <c r="H4" s="909"/>
      <c r="I4" s="352"/>
      <c r="J4" s="352"/>
    </row>
    <row r="5" spans="1:39" ht="25.25" x14ac:dyDescent="1.05">
      <c r="A5" s="904"/>
      <c r="B5" s="905"/>
      <c r="C5" s="353"/>
      <c r="D5" s="752"/>
      <c r="E5" s="357"/>
      <c r="F5" s="756"/>
      <c r="G5" s="914" t="s">
        <v>148</v>
      </c>
      <c r="H5" s="915"/>
      <c r="I5" s="915"/>
      <c r="J5" s="915"/>
      <c r="AD5" s="50">
        <f>548000/(365*24)</f>
        <v>62.557077625570777</v>
      </c>
      <c r="AE5" s="50">
        <f>AG10/AG9</f>
        <v>4.5842725137866962E-2</v>
      </c>
      <c r="AF5" s="50">
        <f>AF6*AE5</f>
        <v>1.7262950888736511E-2</v>
      </c>
      <c r="AJ5" s="50">
        <f>AE5*(1-AF6)</f>
        <v>2.8579774249130451E-2</v>
      </c>
    </row>
    <row r="6" spans="1:39" ht="25.25" x14ac:dyDescent="1.05">
      <c r="A6" s="906"/>
      <c r="B6" s="907"/>
      <c r="C6" s="359"/>
      <c r="D6" s="753"/>
      <c r="E6" s="363"/>
      <c r="F6" s="757"/>
      <c r="G6" s="479"/>
      <c r="H6" s="480"/>
      <c r="I6" s="367"/>
      <c r="J6" s="367"/>
      <c r="AD6" s="50">
        <f>4780</f>
        <v>4780</v>
      </c>
      <c r="AE6" s="50">
        <v>1800</v>
      </c>
      <c r="AF6" s="50">
        <f>AE6/AG10</f>
        <v>0.37656903765690375</v>
      </c>
      <c r="AJ6" s="50">
        <f>AE5/55*45</f>
        <v>3.7507684203709334E-2</v>
      </c>
      <c r="AK6" s="50">
        <v>0.17199999999999999</v>
      </c>
    </row>
    <row r="7" spans="1:39" ht="14.25" x14ac:dyDescent="0.65">
      <c r="A7" s="368"/>
      <c r="B7" s="369"/>
      <c r="C7" s="370"/>
      <c r="D7" s="371"/>
      <c r="E7" s="373"/>
      <c r="F7" s="758"/>
      <c r="G7" s="374"/>
      <c r="H7" s="482"/>
      <c r="I7" s="376"/>
      <c r="J7" s="376"/>
    </row>
    <row r="8" spans="1:39" ht="14.25" x14ac:dyDescent="0.65">
      <c r="A8" s="921" t="s">
        <v>268</v>
      </c>
      <c r="B8" s="922"/>
      <c r="C8" s="377" t="s">
        <v>518</v>
      </c>
      <c r="D8" s="754" t="s">
        <v>535</v>
      </c>
      <c r="E8" s="380" t="s">
        <v>518</v>
      </c>
      <c r="F8" s="437"/>
      <c r="G8" s="381"/>
      <c r="H8" s="574"/>
      <c r="I8" s="749"/>
      <c r="J8" s="749"/>
      <c r="U8" s="12" t="s">
        <v>546</v>
      </c>
      <c r="V8" s="763"/>
      <c r="W8" s="763"/>
      <c r="X8" s="763"/>
      <c r="Y8" s="763"/>
      <c r="Z8" s="763"/>
      <c r="AC8" s="76"/>
      <c r="AD8" s="76">
        <v>2011</v>
      </c>
      <c r="AE8" s="76">
        <v>2013</v>
      </c>
      <c r="AF8" s="76">
        <v>2015</v>
      </c>
      <c r="AG8" s="76">
        <v>2016</v>
      </c>
      <c r="AH8" s="76">
        <v>2017</v>
      </c>
      <c r="AI8" s="76">
        <v>2018</v>
      </c>
      <c r="AJ8" s="76">
        <v>2019</v>
      </c>
      <c r="AK8" s="76">
        <v>2020</v>
      </c>
    </row>
    <row r="9" spans="1:39" ht="15" thickBot="1" x14ac:dyDescent="0.8">
      <c r="A9" s="382"/>
      <c r="B9" s="383"/>
      <c r="C9" s="481"/>
      <c r="D9" s="750"/>
      <c r="E9" s="384" t="s">
        <v>273</v>
      </c>
      <c r="F9" s="376"/>
      <c r="G9" s="387"/>
      <c r="H9" s="575"/>
      <c r="I9" s="750"/>
      <c r="J9" s="750"/>
      <c r="R9" s="50">
        <f>1/12</f>
        <v>8.3333333333333329E-2</v>
      </c>
      <c r="U9" s="763"/>
      <c r="V9" s="763"/>
      <c r="W9" s="763"/>
      <c r="X9" s="763"/>
      <c r="Y9" s="763"/>
      <c r="Z9" s="763"/>
      <c r="AC9" s="76" t="s">
        <v>526</v>
      </c>
      <c r="AD9" s="76">
        <v>101409</v>
      </c>
      <c r="AE9" s="76">
        <v>103947</v>
      </c>
      <c r="AF9" s="76">
        <v>92851.460999999996</v>
      </c>
      <c r="AG9" s="76">
        <f>D22</f>
        <v>104269.54300000001</v>
      </c>
      <c r="AH9" s="76">
        <v>123079.44</v>
      </c>
      <c r="AI9" s="76">
        <v>123080.44</v>
      </c>
      <c r="AJ9" s="76">
        <v>111254.22</v>
      </c>
      <c r="AK9" s="112">
        <f>D74</f>
        <v>89065.2</v>
      </c>
    </row>
    <row r="10" spans="1:39" ht="15" thickBot="1" x14ac:dyDescent="0.8">
      <c r="A10" s="897">
        <v>2016</v>
      </c>
      <c r="B10" s="388" t="s">
        <v>191</v>
      </c>
      <c r="C10" s="389"/>
      <c r="D10" s="390"/>
      <c r="E10" s="392">
        <f>C10</f>
        <v>0</v>
      </c>
      <c r="F10" s="759"/>
      <c r="G10" s="393"/>
      <c r="H10" s="394"/>
      <c r="I10" s="395"/>
      <c r="J10" s="395"/>
      <c r="L10" s="50" t="s">
        <v>519</v>
      </c>
      <c r="U10" s="764" t="s">
        <v>537</v>
      </c>
      <c r="V10" s="765">
        <v>2020</v>
      </c>
      <c r="W10" s="766">
        <v>2019</v>
      </c>
      <c r="X10" s="767">
        <v>2018</v>
      </c>
      <c r="Y10" s="767">
        <v>2017</v>
      </c>
      <c r="Z10" s="767">
        <v>2016</v>
      </c>
      <c r="AC10" s="76" t="s">
        <v>527</v>
      </c>
      <c r="AD10" s="76">
        <f>AD9*$AE$5</f>
        <v>4648.8649135059504</v>
      </c>
      <c r="AE10" s="76">
        <f>AE9*$AE$5</f>
        <v>4765.2137499058572</v>
      </c>
      <c r="AF10" s="76">
        <f>AF9*$AE$5</f>
        <v>4256.5640052723738</v>
      </c>
      <c r="AG10" s="76">
        <v>4780</v>
      </c>
      <c r="AH10" s="76">
        <f>AH9*$AE$5</f>
        <v>5642.2969380425884</v>
      </c>
      <c r="AI10" s="76">
        <f>AI9*$AE$5</f>
        <v>5642.3427807677263</v>
      </c>
      <c r="AJ10" s="76">
        <f>AJ9*$AE$5</f>
        <v>5100.1966278877817</v>
      </c>
      <c r="AK10" s="76">
        <f>AK9*$AE$5</f>
        <v>4082.9914829491486</v>
      </c>
    </row>
    <row r="11" spans="1:39" ht="15.25" thickBot="1" x14ac:dyDescent="0.85">
      <c r="A11" s="883"/>
      <c r="B11" s="396" t="s">
        <v>195</v>
      </c>
      <c r="C11" s="397"/>
      <c r="D11" s="398"/>
      <c r="E11" s="400">
        <f>SUM(C10:C11)</f>
        <v>0</v>
      </c>
      <c r="F11" s="759"/>
      <c r="G11" s="393"/>
      <c r="H11" s="394"/>
      <c r="I11" s="401"/>
      <c r="J11" s="401"/>
      <c r="M11" s="78">
        <v>2020</v>
      </c>
      <c r="N11" s="78">
        <v>2019</v>
      </c>
      <c r="O11" s="78">
        <v>2018</v>
      </c>
      <c r="P11" s="78">
        <v>2017</v>
      </c>
      <c r="R11" s="78">
        <v>2017</v>
      </c>
      <c r="S11" s="112">
        <f>P13</f>
        <v>9458.02</v>
      </c>
      <c r="U11" s="768" t="s">
        <v>538</v>
      </c>
      <c r="V11" s="774">
        <v>5665840</v>
      </c>
      <c r="W11" s="769">
        <v>5378535</v>
      </c>
      <c r="X11" s="775">
        <v>5206990</v>
      </c>
      <c r="Y11" s="776">
        <v>5071450</v>
      </c>
      <c r="Z11" s="776">
        <v>4646830</v>
      </c>
      <c r="AC11" s="76" t="s">
        <v>529</v>
      </c>
      <c r="AD11" s="76">
        <f t="shared" ref="AD11:AK11" si="0">AD10*$AF$6</f>
        <v>1750.6185866758808</v>
      </c>
      <c r="AE11" s="76">
        <f t="shared" si="0"/>
        <v>1794.4319560314943</v>
      </c>
      <c r="AF11" s="76">
        <f t="shared" si="0"/>
        <v>1602.8902111904335</v>
      </c>
      <c r="AG11" s="76">
        <f t="shared" si="0"/>
        <v>1800</v>
      </c>
      <c r="AH11" s="76">
        <f t="shared" si="0"/>
        <v>2124.7143281331923</v>
      </c>
      <c r="AI11" s="76">
        <f t="shared" si="0"/>
        <v>2124.7315910840807</v>
      </c>
      <c r="AJ11" s="76">
        <f t="shared" si="0"/>
        <v>1920.5761360246877</v>
      </c>
      <c r="AK11" s="76">
        <f t="shared" si="0"/>
        <v>1537.5281734954951</v>
      </c>
      <c r="AM11" s="76">
        <f>AK10-AK11</f>
        <v>2545.4633094536534</v>
      </c>
    </row>
    <row r="12" spans="1:39" ht="15" thickBot="1" x14ac:dyDescent="0.8">
      <c r="A12" s="883"/>
      <c r="B12" s="396" t="s">
        <v>15</v>
      </c>
      <c r="C12" s="397"/>
      <c r="D12" s="398"/>
      <c r="E12" s="400">
        <f>SUM(C10:C12)</f>
        <v>0</v>
      </c>
      <c r="F12" s="759"/>
      <c r="G12" s="402"/>
      <c r="H12" s="394"/>
      <c r="I12" s="394"/>
      <c r="J12" s="394"/>
      <c r="L12" s="50" t="s">
        <v>520</v>
      </c>
      <c r="M12" s="50" t="s">
        <v>521</v>
      </c>
      <c r="N12" s="50" t="s">
        <v>522</v>
      </c>
      <c r="O12" s="50" t="s">
        <v>521</v>
      </c>
      <c r="P12" s="50" t="s">
        <v>522</v>
      </c>
      <c r="R12" s="50">
        <f t="shared" ref="R12:R55" si="1">R11+$R$9</f>
        <v>2017.0833333333333</v>
      </c>
      <c r="S12" s="112">
        <f>P14</f>
        <v>8619.6</v>
      </c>
      <c r="U12" s="768" t="s">
        <v>539</v>
      </c>
      <c r="V12" s="776">
        <v>5491917</v>
      </c>
      <c r="W12" s="770">
        <v>5556521</v>
      </c>
      <c r="X12" s="775">
        <v>6024555</v>
      </c>
      <c r="Y12" s="776">
        <v>5817095</v>
      </c>
      <c r="Z12" s="776">
        <v>5064173</v>
      </c>
      <c r="AC12" s="76" t="s">
        <v>528</v>
      </c>
      <c r="AD12" s="76">
        <f t="shared" ref="AD12:AK12" si="2">AD10/55*45</f>
        <v>3803.6167474139593</v>
      </c>
      <c r="AE12" s="76">
        <f t="shared" si="2"/>
        <v>3898.8112499229742</v>
      </c>
      <c r="AF12" s="76">
        <f t="shared" si="2"/>
        <v>3482.6432770410333</v>
      </c>
      <c r="AG12" s="76">
        <f t="shared" si="2"/>
        <v>3910.909090909091</v>
      </c>
      <c r="AH12" s="76">
        <f t="shared" si="2"/>
        <v>4616.4247674893904</v>
      </c>
      <c r="AI12" s="76">
        <f t="shared" si="2"/>
        <v>4616.4622751735942</v>
      </c>
      <c r="AJ12" s="76">
        <f t="shared" si="2"/>
        <v>4172.8881500900034</v>
      </c>
      <c r="AK12" s="76">
        <f t="shared" si="2"/>
        <v>3340.6293951402122</v>
      </c>
      <c r="AM12" s="807">
        <f>AM11/AK9</f>
        <v>2.8579774249130451E-2</v>
      </c>
    </row>
    <row r="13" spans="1:39" ht="15" thickBot="1" x14ac:dyDescent="0.8">
      <c r="A13" s="883"/>
      <c r="B13" s="396" t="s">
        <v>16</v>
      </c>
      <c r="C13" s="397"/>
      <c r="D13" s="398"/>
      <c r="E13" s="400">
        <f>SUM(C10:C13)</f>
        <v>0</v>
      </c>
      <c r="F13" s="759"/>
      <c r="G13" s="402"/>
      <c r="H13" s="394"/>
      <c r="I13" s="394"/>
      <c r="J13" s="394"/>
      <c r="L13" s="50" t="s">
        <v>191</v>
      </c>
      <c r="M13" s="751">
        <v>8379.56</v>
      </c>
      <c r="N13" s="751">
        <v>10359.98</v>
      </c>
      <c r="O13" s="751">
        <v>10796.84</v>
      </c>
      <c r="P13" s="751">
        <v>9458.02</v>
      </c>
      <c r="R13" s="50">
        <f t="shared" si="1"/>
        <v>2017.1666666666665</v>
      </c>
      <c r="S13" s="112">
        <f t="shared" ref="S13:S22" si="3">P15</f>
        <v>9934</v>
      </c>
      <c r="U13" s="768" t="s">
        <v>540</v>
      </c>
      <c r="V13" s="776">
        <v>1953397</v>
      </c>
      <c r="W13" s="770">
        <v>1989735</v>
      </c>
      <c r="X13" s="775">
        <v>2038243</v>
      </c>
      <c r="Y13" s="776">
        <v>2164068</v>
      </c>
      <c r="Z13" s="776">
        <v>2126291</v>
      </c>
      <c r="AC13" s="76" t="s">
        <v>530</v>
      </c>
      <c r="AD13" s="76">
        <f t="shared" ref="AD13:AJ13" si="4">(AD10-AD11)*28+AD12</f>
        <v>84954.513898655918</v>
      </c>
      <c r="AE13" s="76">
        <f t="shared" si="4"/>
        <v>87080.701478405143</v>
      </c>
      <c r="AF13" s="76">
        <f t="shared" si="4"/>
        <v>77785.50951133536</v>
      </c>
      <c r="AG13" s="76">
        <f t="shared" si="4"/>
        <v>87350.909090909088</v>
      </c>
      <c r="AH13" s="76">
        <f t="shared" si="4"/>
        <v>103108.73784495247</v>
      </c>
      <c r="AI13" s="76">
        <f t="shared" si="4"/>
        <v>103109.57558631567</v>
      </c>
      <c r="AJ13" s="76">
        <f t="shared" si="4"/>
        <v>93202.261922256628</v>
      </c>
      <c r="AK13" s="76">
        <f>(AK10-AK11)*28+AK12</f>
        <v>74613.602059842509</v>
      </c>
      <c r="AM13" s="807">
        <f>AK12/AK9</f>
        <v>3.7507684203709334E-2</v>
      </c>
    </row>
    <row r="14" spans="1:39" ht="15" thickBot="1" x14ac:dyDescent="0.8">
      <c r="A14" s="883"/>
      <c r="B14" s="396" t="s">
        <v>17</v>
      </c>
      <c r="C14" s="397"/>
      <c r="D14" s="398"/>
      <c r="E14" s="400">
        <f>SUM(C10:C14)</f>
        <v>0</v>
      </c>
      <c r="F14" s="759"/>
      <c r="G14" s="402"/>
      <c r="H14" s="394"/>
      <c r="I14" s="394"/>
      <c r="J14" s="394"/>
      <c r="L14" s="50" t="s">
        <v>195</v>
      </c>
      <c r="M14" s="751">
        <v>6154.64</v>
      </c>
      <c r="N14" s="751">
        <v>8657.68</v>
      </c>
      <c r="O14" s="751">
        <v>9341.42</v>
      </c>
      <c r="P14" s="751">
        <v>8619.6</v>
      </c>
      <c r="R14" s="50">
        <f t="shared" si="1"/>
        <v>2017.2499999999998</v>
      </c>
      <c r="S14" s="112">
        <f t="shared" si="3"/>
        <v>8256.6</v>
      </c>
      <c r="U14" s="771" t="s">
        <v>541</v>
      </c>
      <c r="V14" s="777">
        <v>5792899</v>
      </c>
      <c r="W14" s="769">
        <v>5511816</v>
      </c>
      <c r="X14" s="778">
        <v>5062161</v>
      </c>
      <c r="Y14" s="779">
        <v>5479655</v>
      </c>
      <c r="Z14" s="779">
        <v>2825392</v>
      </c>
      <c r="AC14" s="76" t="s">
        <v>597</v>
      </c>
      <c r="AK14" s="50">
        <v>2100</v>
      </c>
    </row>
    <row r="15" spans="1:39" ht="15" thickBot="1" x14ac:dyDescent="0.8">
      <c r="A15" s="883"/>
      <c r="B15" s="396" t="s">
        <v>18</v>
      </c>
      <c r="C15" s="397"/>
      <c r="D15" s="398"/>
      <c r="E15" s="400">
        <f>SUM(C10:C15)</f>
        <v>0</v>
      </c>
      <c r="F15" s="759"/>
      <c r="G15" s="402"/>
      <c r="H15" s="394"/>
      <c r="I15" s="394"/>
      <c r="J15" s="394"/>
      <c r="L15" s="50" t="s">
        <v>15</v>
      </c>
      <c r="M15" s="751">
        <v>7204.3</v>
      </c>
      <c r="N15" s="751">
        <v>8700.56</v>
      </c>
      <c r="O15" s="751">
        <v>9466.7000000000007</v>
      </c>
      <c r="P15" s="751">
        <v>9934</v>
      </c>
      <c r="R15" s="50">
        <f t="shared" si="1"/>
        <v>2017.333333333333</v>
      </c>
      <c r="S15" s="112">
        <f t="shared" si="3"/>
        <v>10593.52</v>
      </c>
      <c r="U15" s="772" t="s">
        <v>542</v>
      </c>
      <c r="V15" s="780">
        <v>18904053</v>
      </c>
      <c r="W15" s="773">
        <v>18436607</v>
      </c>
      <c r="X15" s="781">
        <v>18331949</v>
      </c>
      <c r="Y15" s="782">
        <v>18532268</v>
      </c>
      <c r="Z15" s="782">
        <v>14662686</v>
      </c>
      <c r="AC15" s="76" t="s">
        <v>530</v>
      </c>
      <c r="AK15" s="50">
        <f>AK14*AK6</f>
        <v>361.2</v>
      </c>
      <c r="AM15" s="50">
        <f>AK14*Reykjavík!H6</f>
        <v>1174.2513967918844</v>
      </c>
    </row>
    <row r="16" spans="1:39" ht="15" thickBot="1" x14ac:dyDescent="0.8">
      <c r="A16" s="883"/>
      <c r="B16" s="396" t="s">
        <v>19</v>
      </c>
      <c r="C16" s="397"/>
      <c r="D16" s="398"/>
      <c r="E16" s="400">
        <f>SUM(C10:C16)</f>
        <v>0</v>
      </c>
      <c r="F16" s="759"/>
      <c r="G16" s="402"/>
      <c r="H16" s="394"/>
      <c r="I16" s="394"/>
      <c r="J16" s="394"/>
      <c r="L16" s="50" t="s">
        <v>16</v>
      </c>
      <c r="M16" s="751">
        <v>7158.26</v>
      </c>
      <c r="N16" s="751">
        <v>8838.84</v>
      </c>
      <c r="O16" s="751">
        <v>9656.73</v>
      </c>
      <c r="P16" s="751">
        <v>8256.6</v>
      </c>
      <c r="R16" s="50">
        <f t="shared" si="1"/>
        <v>2017.4166666666663</v>
      </c>
      <c r="S16" s="112">
        <f t="shared" si="3"/>
        <v>10734.64</v>
      </c>
      <c r="U16" s="768" t="s">
        <v>109</v>
      </c>
      <c r="V16" s="776">
        <v>11023463</v>
      </c>
      <c r="W16" s="770">
        <v>10549953</v>
      </c>
      <c r="X16" s="775">
        <v>11479101</v>
      </c>
      <c r="Y16" s="776">
        <v>11529789</v>
      </c>
      <c r="Z16" s="776">
        <v>11019040</v>
      </c>
      <c r="AM16" s="50">
        <f>AK14-AM15</f>
        <v>925.74860320811558</v>
      </c>
    </row>
    <row r="17" spans="1:37" ht="15" thickBot="1" x14ac:dyDescent="0.8">
      <c r="A17" s="883"/>
      <c r="B17" s="396" t="s">
        <v>20</v>
      </c>
      <c r="C17" s="397"/>
      <c r="D17" s="398"/>
      <c r="E17" s="400">
        <f>SUM(C10:C17)</f>
        <v>0</v>
      </c>
      <c r="F17" s="759"/>
      <c r="G17" s="402"/>
      <c r="H17" s="394"/>
      <c r="I17" s="394"/>
      <c r="J17" s="394"/>
      <c r="L17" s="50" t="s">
        <v>17</v>
      </c>
      <c r="M17" s="751">
        <v>6950.12</v>
      </c>
      <c r="N17" s="751">
        <v>10672.39</v>
      </c>
      <c r="O17" s="751">
        <v>10785.22</v>
      </c>
      <c r="P17" s="751">
        <v>10593.52</v>
      </c>
      <c r="R17" s="50">
        <f t="shared" si="1"/>
        <v>2017.4999999999995</v>
      </c>
      <c r="S17" s="112">
        <f t="shared" si="3"/>
        <v>10589.06</v>
      </c>
      <c r="U17" s="768" t="s">
        <v>543</v>
      </c>
      <c r="V17" s="776">
        <v>4030708</v>
      </c>
      <c r="W17" s="770">
        <v>3709166</v>
      </c>
      <c r="X17" s="775">
        <v>4817544</v>
      </c>
      <c r="Y17" s="776">
        <v>4979817</v>
      </c>
      <c r="Z17" s="776">
        <v>2042284</v>
      </c>
    </row>
    <row r="18" spans="1:37" ht="15" thickBot="1" x14ac:dyDescent="0.8">
      <c r="A18" s="883"/>
      <c r="B18" s="396" t="s">
        <v>211</v>
      </c>
      <c r="C18" s="397"/>
      <c r="D18" s="398"/>
      <c r="E18" s="400">
        <f>SUM(C10:C18)</f>
        <v>0</v>
      </c>
      <c r="F18" s="759"/>
      <c r="G18" s="374"/>
      <c r="H18" s="403"/>
      <c r="I18" s="403"/>
      <c r="J18" s="403"/>
      <c r="L18" s="50" t="s">
        <v>18</v>
      </c>
      <c r="M18" s="751">
        <v>7245.1</v>
      </c>
      <c r="N18" s="751">
        <v>8821.0400000000009</v>
      </c>
      <c r="O18" s="751">
        <v>10218.74</v>
      </c>
      <c r="P18" s="751">
        <v>10734.64</v>
      </c>
      <c r="R18" s="50">
        <f t="shared" si="1"/>
        <v>2017.5833333333328</v>
      </c>
      <c r="S18" s="112">
        <f t="shared" si="3"/>
        <v>11116.02</v>
      </c>
      <c r="U18" s="771" t="s">
        <v>544</v>
      </c>
      <c r="V18" s="777">
        <v>3849882</v>
      </c>
      <c r="W18" s="769">
        <v>3422418</v>
      </c>
      <c r="X18" s="778">
        <v>2035304</v>
      </c>
      <c r="Y18" s="779">
        <v>2022662</v>
      </c>
      <c r="Z18" s="779">
        <v>1601362</v>
      </c>
      <c r="AC18" s="76"/>
      <c r="AD18" s="76">
        <v>2011</v>
      </c>
      <c r="AE18" s="76">
        <v>2013</v>
      </c>
      <c r="AF18" s="76">
        <v>2015</v>
      </c>
      <c r="AG18" s="76">
        <v>2016</v>
      </c>
      <c r="AH18" s="76">
        <v>2017</v>
      </c>
      <c r="AI18" s="76">
        <v>2018</v>
      </c>
      <c r="AJ18" s="76">
        <v>2019</v>
      </c>
      <c r="AK18" s="76">
        <v>2020</v>
      </c>
    </row>
    <row r="19" spans="1:37" ht="15" thickBot="1" x14ac:dyDescent="0.8">
      <c r="A19" s="883"/>
      <c r="B19" s="396" t="s">
        <v>213</v>
      </c>
      <c r="C19" s="397"/>
      <c r="D19" s="398"/>
      <c r="E19" s="400">
        <f>SUM(C10:C19)</f>
        <v>0</v>
      </c>
      <c r="F19" s="759"/>
      <c r="G19" s="374"/>
      <c r="H19" s="403"/>
      <c r="I19" s="403"/>
      <c r="J19" s="403"/>
      <c r="L19" s="50" t="s">
        <v>19</v>
      </c>
      <c r="M19" s="751">
        <v>7600.9</v>
      </c>
      <c r="N19" s="751">
        <v>9611.26</v>
      </c>
      <c r="O19" s="751">
        <v>10590.94</v>
      </c>
      <c r="P19" s="751">
        <v>10589.06</v>
      </c>
      <c r="R19" s="50">
        <f t="shared" si="1"/>
        <v>2017.6666666666661</v>
      </c>
      <c r="S19" s="112">
        <f t="shared" si="3"/>
        <v>10037.959999999999</v>
      </c>
      <c r="U19" s="772" t="s">
        <v>545</v>
      </c>
      <c r="V19" s="780">
        <v>18904053</v>
      </c>
      <c r="W19" s="773">
        <v>18436607</v>
      </c>
      <c r="X19" s="781">
        <v>18331949</v>
      </c>
      <c r="Y19" s="782">
        <v>18532268</v>
      </c>
      <c r="Z19" s="782">
        <v>14662686</v>
      </c>
      <c r="AC19" s="76" t="s">
        <v>526</v>
      </c>
      <c r="AD19" s="76">
        <f>AD9*Reykjavík!$C$6</f>
        <v>58282.744720326387</v>
      </c>
      <c r="AE19" s="76">
        <f>AE9*Reykjavík!$C$6</f>
        <v>59741.408212720438</v>
      </c>
      <c r="AF19" s="76">
        <f>AF9*Reykjavík!$C$6</f>
        <v>53364.474537490176</v>
      </c>
      <c r="AG19" s="76">
        <f>AG9*Reykjavík!D$6</f>
        <v>59568.928923550819</v>
      </c>
      <c r="AH19" s="76">
        <f>AH9*Reykjavík!E$6</f>
        <v>69983.978265501821</v>
      </c>
      <c r="AI19" s="76">
        <f>AI9*Reykjavík!F$6</f>
        <v>69386.249558839394</v>
      </c>
      <c r="AJ19" s="76">
        <f>AJ9*Reykjavík!G$6</f>
        <v>62375.152165991909</v>
      </c>
      <c r="AK19" s="76">
        <f>AK9*Reykjavík!H$6</f>
        <v>49802.350240737404</v>
      </c>
    </row>
    <row r="20" spans="1:37" ht="15" thickBot="1" x14ac:dyDescent="0.8">
      <c r="A20" s="883"/>
      <c r="B20" s="396" t="s">
        <v>216</v>
      </c>
      <c r="C20" s="397"/>
      <c r="D20" s="398"/>
      <c r="E20" s="400">
        <f>SUM(C10:C20)</f>
        <v>0</v>
      </c>
      <c r="F20" s="759"/>
      <c r="G20" s="374"/>
      <c r="H20" s="403"/>
      <c r="I20" s="403"/>
      <c r="J20" s="403"/>
      <c r="L20" s="50" t="s">
        <v>20</v>
      </c>
      <c r="M20" s="751">
        <v>6408.64</v>
      </c>
      <c r="N20" s="751">
        <v>8938.94</v>
      </c>
      <c r="O20" s="751">
        <v>10329.120000000001</v>
      </c>
      <c r="P20" s="751">
        <v>11116.02</v>
      </c>
      <c r="R20" s="50">
        <f t="shared" si="1"/>
        <v>2017.7499999999993</v>
      </c>
      <c r="S20" s="112">
        <f t="shared" si="3"/>
        <v>10419.18</v>
      </c>
      <c r="U20" s="771"/>
      <c r="V20" s="777"/>
      <c r="W20" s="769"/>
      <c r="X20" s="778"/>
      <c r="Y20" s="779"/>
      <c r="Z20" s="779"/>
      <c r="AC20" s="76" t="s">
        <v>527</v>
      </c>
      <c r="AD20" s="76">
        <f>AD10*Reykjavík!$C$6</f>
        <v>2671.8398464943893</v>
      </c>
      <c r="AE20" s="76">
        <f>AE10*Reykjavík!$C$6</f>
        <v>2738.7089560448512</v>
      </c>
      <c r="AF20" s="76">
        <f>AF10*Reykjavík!$C$6</f>
        <v>2446.3729383488626</v>
      </c>
      <c r="AG20" s="76">
        <f>AG10*Reykjavík!D$6</f>
        <v>2730.802035399473</v>
      </c>
      <c r="AH20" s="76">
        <f>AH10*Reykjavík!E$6</f>
        <v>3208.2562796798552</v>
      </c>
      <c r="AI20" s="76">
        <f>AI10*Reykjavík!F$6</f>
        <v>3180.8547668733167</v>
      </c>
      <c r="AJ20" s="76">
        <f>AJ10*Reykjavík!G$6</f>
        <v>2859.4469561781943</v>
      </c>
      <c r="AK20" s="76">
        <f>AK10*Reykjavík!H$6</f>
        <v>2283.0754533059071</v>
      </c>
    </row>
    <row r="21" spans="1:37" ht="15" thickBot="1" x14ac:dyDescent="0.8">
      <c r="A21" s="884"/>
      <c r="B21" s="404" t="s">
        <v>217</v>
      </c>
      <c r="C21" s="405"/>
      <c r="D21" s="408"/>
      <c r="E21" s="400">
        <f>SUM(C10:C21)</f>
        <v>0</v>
      </c>
      <c r="F21" s="759"/>
      <c r="G21" s="374"/>
      <c r="H21" s="403"/>
      <c r="I21" s="403"/>
      <c r="J21" s="403"/>
      <c r="L21" s="50" t="s">
        <v>211</v>
      </c>
      <c r="M21" s="751">
        <v>7314.64</v>
      </c>
      <c r="N21" s="751">
        <v>9020.64</v>
      </c>
      <c r="O21" s="751">
        <v>9486.02</v>
      </c>
      <c r="P21" s="751">
        <v>10037.959999999999</v>
      </c>
      <c r="R21" s="50">
        <f t="shared" si="1"/>
        <v>2017.8333333333326</v>
      </c>
      <c r="S21" s="112">
        <f t="shared" si="3"/>
        <v>10267.51</v>
      </c>
      <c r="U21" s="772" t="s">
        <v>553</v>
      </c>
      <c r="V21" s="780">
        <f>V16*Reykjavík!C6</f>
        <v>6335509.471180697</v>
      </c>
      <c r="W21" s="773">
        <f>W16*Reykjavík!D6</f>
        <v>6027161.7417926313</v>
      </c>
      <c r="X21" s="781">
        <f>X16*Reykjavík!E6</f>
        <v>6527110.9040754503</v>
      </c>
      <c r="Y21" s="782">
        <f>Y16*Reykjavík!F6</f>
        <v>6499885.9031927511</v>
      </c>
      <c r="Z21" s="782">
        <f>Z16*Reykjavík!G6</f>
        <v>6177871.6953222221</v>
      </c>
      <c r="AC21" s="76" t="s">
        <v>529</v>
      </c>
      <c r="AD21" s="76">
        <f>AD11*Reykjavík!$C$6</f>
        <v>1006.1321597677616</v>
      </c>
      <c r="AE21" s="76">
        <f>AE11*Reykjavík!$C$6</f>
        <v>1031.3129960001531</v>
      </c>
      <c r="AF21" s="76">
        <f>AF11*Reykjavík!$C$6</f>
        <v>921.22830314392297</v>
      </c>
      <c r="AG21" s="76">
        <f>AG11*Reykjavík!D$6</f>
        <v>1028.3354945018937</v>
      </c>
      <c r="AH21" s="76">
        <f>AH11*Reykjavík!E$6</f>
        <v>1208.1299797957613</v>
      </c>
      <c r="AI21" s="76">
        <f>AI11*Reykjavík!F$6</f>
        <v>1197.8114184878598</v>
      </c>
      <c r="AJ21" s="76">
        <f>AJ11*Reykjavík!G$6</f>
        <v>1076.7791885189852</v>
      </c>
      <c r="AK21" s="76">
        <f>AK11*Reykjavík!H$6</f>
        <v>859.73552634950477</v>
      </c>
    </row>
    <row r="22" spans="1:37" ht="15" thickBot="1" x14ac:dyDescent="0.8">
      <c r="A22" s="409" t="s">
        <v>21</v>
      </c>
      <c r="B22" s="410"/>
      <c r="C22" s="411">
        <f>SUM(C10:C21)</f>
        <v>0</v>
      </c>
      <c r="D22" s="755">
        <f>208957*0.499</f>
        <v>104269.54300000001</v>
      </c>
      <c r="E22" s="412">
        <f>E17</f>
        <v>0</v>
      </c>
      <c r="F22" s="760"/>
      <c r="G22" s="413"/>
      <c r="H22" s="414"/>
      <c r="I22" s="414"/>
      <c r="J22" s="414"/>
      <c r="L22" s="50" t="s">
        <v>213</v>
      </c>
      <c r="M22" s="751">
        <v>3364.7</v>
      </c>
      <c r="N22" s="751">
        <v>8615.68</v>
      </c>
      <c r="O22" s="751">
        <v>10851.76</v>
      </c>
      <c r="P22" s="751">
        <v>10419.18</v>
      </c>
      <c r="R22" s="50">
        <f t="shared" si="1"/>
        <v>2017.9166666666658</v>
      </c>
      <c r="S22" s="112">
        <f t="shared" si="3"/>
        <v>9171.84</v>
      </c>
      <c r="U22" s="771" t="s">
        <v>555</v>
      </c>
      <c r="V22" s="777">
        <f>V21*($U$26+$U$27*28+$U$28*265)/10^6</f>
        <v>2906.9995036369351</v>
      </c>
      <c r="W22" s="777">
        <f>W21*($U$26+$U$27*28+$U$28*265)/10^6</f>
        <v>2765.516533663309</v>
      </c>
      <c r="X22" s="777">
        <f>X21*($U$26+$U$27*28+$U$28*265)/10^6</f>
        <v>2994.9143387192307</v>
      </c>
      <c r="Y22" s="777">
        <f>Y21*($U$26+$U$27*28+$U$28*265)/10^6</f>
        <v>2982.4223577013613</v>
      </c>
      <c r="Z22" s="777">
        <f>Z21*($U$26+$U$27*28+$U$28*265)/10^6</f>
        <v>2834.6686298122581</v>
      </c>
      <c r="AC22" s="76" t="s">
        <v>528</v>
      </c>
      <c r="AD22" s="76">
        <f>AD12*Reykjavík!$C$6</f>
        <v>2186.0507834954092</v>
      </c>
      <c r="AE22" s="76">
        <f>AE12*Reykjavík!$C$6</f>
        <v>2240.7618731276057</v>
      </c>
      <c r="AF22" s="76">
        <f>AF12*Reykjavík!$C$6</f>
        <v>2001.5778586490694</v>
      </c>
      <c r="AG22" s="76">
        <f>AG12*Reykjavík!D$6</f>
        <v>2234.292574417751</v>
      </c>
      <c r="AH22" s="76">
        <f>AH12*Reykjavík!E$6</f>
        <v>2624.9369561016997</v>
      </c>
      <c r="AI22" s="76">
        <f>AI12*Reykjavík!F$6</f>
        <v>2602.5175365327136</v>
      </c>
      <c r="AJ22" s="76">
        <f>AJ12*Reykjavík!G$6</f>
        <v>2339.5475096003406</v>
      </c>
      <c r="AK22" s="76">
        <f>AK12*Reykjavík!H$6</f>
        <v>1867.9708254321058</v>
      </c>
    </row>
    <row r="23" spans="1:37" ht="15" thickBot="1" x14ac:dyDescent="0.8">
      <c r="A23" s="883">
        <v>2017</v>
      </c>
      <c r="B23" s="388" t="s">
        <v>191</v>
      </c>
      <c r="C23" s="389">
        <v>9458.02</v>
      </c>
      <c r="D23" s="390"/>
      <c r="E23" s="392">
        <f>C23</f>
        <v>9458.02</v>
      </c>
      <c r="F23" s="761"/>
      <c r="G23" s="885" t="s">
        <v>245</v>
      </c>
      <c r="H23" s="415" t="e">
        <f t="shared" ref="H23:H54" si="5">(C23-C10)/C10</f>
        <v>#DIV/0!</v>
      </c>
      <c r="I23" s="416" t="e">
        <f t="shared" ref="I23:I38" si="6">(E23-E10)/E10</f>
        <v>#DIV/0!</v>
      </c>
      <c r="J23" s="416" t="e">
        <f>(#REF!-#REF!)/#REF!</f>
        <v>#REF!</v>
      </c>
      <c r="L23" s="50" t="s">
        <v>216</v>
      </c>
      <c r="M23" s="751">
        <f>M22/N22*N23</f>
        <v>2898.3655644127912</v>
      </c>
      <c r="N23" s="751">
        <v>7421.58</v>
      </c>
      <c r="O23" s="751">
        <v>9454.1200000000008</v>
      </c>
      <c r="P23" s="751">
        <v>10267.51</v>
      </c>
      <c r="R23" s="50">
        <f t="shared" si="1"/>
        <v>2017.9999999999991</v>
      </c>
      <c r="S23" s="112">
        <f t="shared" ref="S23:S34" si="7">O13</f>
        <v>10796.84</v>
      </c>
      <c r="U23" s="772"/>
      <c r="V23" s="780"/>
      <c r="W23" s="773"/>
      <c r="X23" s="773"/>
      <c r="Y23" s="773"/>
      <c r="Z23" s="773"/>
      <c r="AC23" s="76" t="s">
        <v>530</v>
      </c>
      <c r="AD23" s="76">
        <f>AD13*Reykjavík!$C$6</f>
        <v>48825.86601184099</v>
      </c>
      <c r="AE23" s="76">
        <f>AE13*Reykjavík!$C$6</f>
        <v>50047.848754379156</v>
      </c>
      <c r="AF23" s="76">
        <f>AF13*Reykjavík!$C$6</f>
        <v>44705.627644387372</v>
      </c>
      <c r="AG23" s="76">
        <f>AG13*Reykjavík!D$6</f>
        <v>49903.355719549974</v>
      </c>
      <c r="AH23" s="76">
        <f>AH13*Reykjavík!E$6</f>
        <v>58628.473352856316</v>
      </c>
      <c r="AI23" s="76">
        <f>AI13*Reykjavík!F$6</f>
        <v>58127.731291325508</v>
      </c>
      <c r="AJ23" s="76">
        <f>AJ13*Reykjavík!G$6</f>
        <v>52254.24500405819</v>
      </c>
      <c r="AK23" s="76">
        <f>AK13*Reykjavík!H$6</f>
        <v>41721.488780211374</v>
      </c>
    </row>
    <row r="24" spans="1:37" ht="14.25" x14ac:dyDescent="0.65">
      <c r="A24" s="883"/>
      <c r="B24" s="396" t="s">
        <v>195</v>
      </c>
      <c r="C24" s="397">
        <v>8619.6</v>
      </c>
      <c r="D24" s="398"/>
      <c r="E24" s="400">
        <f>SUM(C23:C24)</f>
        <v>18077.620000000003</v>
      </c>
      <c r="F24" s="762"/>
      <c r="G24" s="886"/>
      <c r="H24" s="417" t="e">
        <f t="shared" si="5"/>
        <v>#DIV/0!</v>
      </c>
      <c r="I24" s="420" t="e">
        <f t="shared" si="6"/>
        <v>#DIV/0!</v>
      </c>
      <c r="J24" s="420" t="e">
        <f>(#REF!-#REF!)/#REF!</f>
        <v>#REF!</v>
      </c>
      <c r="L24" s="50" t="s">
        <v>217</v>
      </c>
      <c r="M24" s="751">
        <f>M22/N22*N24</f>
        <v>2893.9213085908477</v>
      </c>
      <c r="N24" s="751">
        <v>7410.2</v>
      </c>
      <c r="O24" s="751">
        <v>8887.74</v>
      </c>
      <c r="P24" s="751">
        <v>9171.84</v>
      </c>
      <c r="R24" s="50">
        <f t="shared" si="1"/>
        <v>2018.0833333333323</v>
      </c>
      <c r="S24" s="112">
        <f t="shared" si="7"/>
        <v>9341.42</v>
      </c>
    </row>
    <row r="25" spans="1:37" ht="14.25" x14ac:dyDescent="0.65">
      <c r="A25" s="883"/>
      <c r="B25" s="396" t="s">
        <v>15</v>
      </c>
      <c r="C25" s="397">
        <v>9934</v>
      </c>
      <c r="D25" s="398"/>
      <c r="E25" s="400">
        <f>SUM(C23:C25)</f>
        <v>28011.620000000003</v>
      </c>
      <c r="F25" s="762"/>
      <c r="G25" s="886"/>
      <c r="H25" s="417" t="e">
        <f t="shared" si="5"/>
        <v>#DIV/0!</v>
      </c>
      <c r="I25" s="420" t="e">
        <f t="shared" si="6"/>
        <v>#DIV/0!</v>
      </c>
      <c r="J25" s="420" t="e">
        <f>(#REF!-#REF!)/#REF!</f>
        <v>#REF!</v>
      </c>
      <c r="M25" s="751">
        <f>SUM(M13:M24)</f>
        <v>73573.146873003629</v>
      </c>
      <c r="N25" s="751">
        <f>SUM(N13:N24)</f>
        <v>107068.79000000001</v>
      </c>
      <c r="O25" s="751">
        <f>SUM(O13:O24)</f>
        <v>119865.34999999999</v>
      </c>
      <c r="P25" s="751">
        <f>SUM(P13:P24)</f>
        <v>119197.95</v>
      </c>
      <c r="R25" s="50">
        <f t="shared" si="1"/>
        <v>2018.1666666666656</v>
      </c>
      <c r="S25" s="112">
        <f t="shared" si="7"/>
        <v>9466.7000000000007</v>
      </c>
      <c r="U25" s="129" t="s">
        <v>554</v>
      </c>
      <c r="V25" s="112"/>
      <c r="AC25" s="76"/>
      <c r="AD25" s="76"/>
      <c r="AE25" s="76"/>
      <c r="AF25" s="76"/>
      <c r="AG25" s="76"/>
      <c r="AH25" s="76"/>
      <c r="AI25" s="76"/>
      <c r="AJ25" s="76"/>
      <c r="AK25" s="76"/>
    </row>
    <row r="26" spans="1:37" ht="14.25" x14ac:dyDescent="0.65">
      <c r="A26" s="883"/>
      <c r="B26" s="396" t="s">
        <v>16</v>
      </c>
      <c r="C26" s="397">
        <v>8256.6</v>
      </c>
      <c r="D26" s="398"/>
      <c r="E26" s="400">
        <f>SUM(C23:C26)</f>
        <v>36268.22</v>
      </c>
      <c r="F26" s="762"/>
      <c r="G26" s="886"/>
      <c r="H26" s="417" t="e">
        <f t="shared" si="5"/>
        <v>#DIV/0!</v>
      </c>
      <c r="I26" s="420" t="e">
        <f t="shared" si="6"/>
        <v>#DIV/0!</v>
      </c>
      <c r="J26" s="420" t="e">
        <f>(#REF!-#REF!)/#REF!</f>
        <v>#REF!</v>
      </c>
      <c r="R26" s="50">
        <f t="shared" si="1"/>
        <v>2018.2499999999989</v>
      </c>
      <c r="S26" s="112">
        <f>O16</f>
        <v>9656.73</v>
      </c>
      <c r="U26" s="50">
        <v>437.18848875999998</v>
      </c>
      <c r="AC26" s="76" t="s">
        <v>526</v>
      </c>
      <c r="AD26" s="76">
        <f>(1-Reykjavík!$C$6)*AD9</f>
        <v>43126.255279673613</v>
      </c>
      <c r="AE26" s="76">
        <f>(1-Reykjavík!$C$6)*AE9</f>
        <v>44205.591787279562</v>
      </c>
      <c r="AF26" s="76">
        <f>(1-Reykjavík!C$6)*AF9</f>
        <v>39486.98646250982</v>
      </c>
      <c r="AG26" s="76">
        <f>(1-Reykjavík!D$6)*AG9</f>
        <v>44700.614076449187</v>
      </c>
      <c r="AH26" s="76">
        <f>(1-Reykjavík!E$6)*AH9</f>
        <v>53095.461734498189</v>
      </c>
      <c r="AI26" s="76">
        <f>(1-Reykjavík!F$6)*AI9</f>
        <v>53694.190441160616</v>
      </c>
      <c r="AJ26" s="76">
        <f>(1-Reykjavík!G$6)*AJ9</f>
        <v>48879.067834008092</v>
      </c>
      <c r="AK26" s="76">
        <f>(1-Reykjavík!H$6)*AK9</f>
        <v>39262.849759262594</v>
      </c>
    </row>
    <row r="27" spans="1:37" ht="14.25" x14ac:dyDescent="0.65">
      <c r="A27" s="883"/>
      <c r="B27" s="396" t="s">
        <v>17</v>
      </c>
      <c r="C27" s="397">
        <v>10593.52</v>
      </c>
      <c r="D27" s="398"/>
      <c r="E27" s="400">
        <f>SUM(C23:C27)</f>
        <v>46861.740000000005</v>
      </c>
      <c r="F27" s="762"/>
      <c r="G27" s="886"/>
      <c r="H27" s="417" t="e">
        <f t="shared" si="5"/>
        <v>#DIV/0!</v>
      </c>
      <c r="I27" s="420" t="e">
        <f t="shared" si="6"/>
        <v>#DIV/0!</v>
      </c>
      <c r="J27" s="420" t="e">
        <f>(#REF!-#REF!)/#REF!</f>
        <v>#REF!</v>
      </c>
      <c r="R27" s="50">
        <f t="shared" si="1"/>
        <v>2018.3333333333321</v>
      </c>
      <c r="S27" s="112">
        <f t="shared" si="7"/>
        <v>10785.22</v>
      </c>
      <c r="U27" s="50">
        <v>0.208358918866</v>
      </c>
      <c r="AC27" s="76" t="s">
        <v>527</v>
      </c>
      <c r="AD27" s="76">
        <f>(1-Reykjavík!$C$6)*AD10</f>
        <v>1977.0250670115611</v>
      </c>
      <c r="AE27" s="76">
        <f>(1-Reykjavík!$C$6)*AE10</f>
        <v>2026.5047938610062</v>
      </c>
      <c r="AF27" s="76">
        <f>(1-Reykjavík!C$6)*AF10</f>
        <v>1810.1910669235115</v>
      </c>
      <c r="AG27" s="76">
        <f>(1-Reykjavík!D$6)*AG10</f>
        <v>2049.197964600527</v>
      </c>
      <c r="AH27" s="76">
        <f>(1-Reykjavík!E$6)*AH10</f>
        <v>2434.0406583627332</v>
      </c>
      <c r="AI27" s="76">
        <f>(1-Reykjavík!F$6)*AI10</f>
        <v>2461.4880138944095</v>
      </c>
      <c r="AJ27" s="76">
        <f>(1-Reykjavík!G$6)*AJ10</f>
        <v>2240.7496717095873</v>
      </c>
      <c r="AK27" s="76">
        <f>(1-Reykjavík!H$6)*AK10</f>
        <v>1799.9160296432412</v>
      </c>
    </row>
    <row r="28" spans="1:37" ht="14.25" x14ac:dyDescent="0.65">
      <c r="A28" s="883"/>
      <c r="B28" s="396" t="s">
        <v>18</v>
      </c>
      <c r="C28" s="397">
        <v>10734.64</v>
      </c>
      <c r="D28" s="398"/>
      <c r="E28" s="400">
        <f>SUM(C23:C28)</f>
        <v>57596.380000000005</v>
      </c>
      <c r="F28" s="762"/>
      <c r="G28" s="886"/>
      <c r="H28" s="417" t="e">
        <f t="shared" si="5"/>
        <v>#DIV/0!</v>
      </c>
      <c r="I28" s="420" t="e">
        <f t="shared" si="6"/>
        <v>#DIV/0!</v>
      </c>
      <c r="J28" s="420" t="e">
        <f>(#REF!-#REF!)/#REF!</f>
        <v>#REF!</v>
      </c>
      <c r="R28" s="50">
        <f t="shared" si="1"/>
        <v>2018.4166666666654</v>
      </c>
      <c r="S28" s="112">
        <f t="shared" si="7"/>
        <v>10218.74</v>
      </c>
      <c r="U28" s="50">
        <v>5.9697074000000003E-2</v>
      </c>
      <c r="V28" s="76"/>
      <c r="AC28" s="76" t="s">
        <v>529</v>
      </c>
      <c r="AD28" s="76">
        <f>(1-Reykjavík!$C$6)*AD11</f>
        <v>744.48642690811926</v>
      </c>
      <c r="AE28" s="76">
        <f>(1-Reykjavík!$C$6)*AE11</f>
        <v>763.1189600313412</v>
      </c>
      <c r="AF28" s="76">
        <f>(1-Reykjavík!C$6)*AF11</f>
        <v>681.66190804651058</v>
      </c>
      <c r="AG28" s="76">
        <f>(1-Reykjavík!D$6)*AG11</f>
        <v>771.66450549810634</v>
      </c>
      <c r="AH28" s="76">
        <f>(1-Reykjavík!E$6)*AH11</f>
        <v>916.58434833743092</v>
      </c>
      <c r="AI28" s="76">
        <f>(1-Reykjavík!F$6)*AI11</f>
        <v>926.92017259622105</v>
      </c>
      <c r="AJ28" s="76">
        <f>(1-Reykjavík!G$6)*AJ11</f>
        <v>843.79694750570241</v>
      </c>
      <c r="AK28" s="76">
        <f>(1-Reykjavík!H$6)*AK11</f>
        <v>677.79264714599037</v>
      </c>
    </row>
    <row r="29" spans="1:37" ht="14.25" x14ac:dyDescent="0.65">
      <c r="A29" s="883"/>
      <c r="B29" s="396" t="s">
        <v>19</v>
      </c>
      <c r="C29" s="397">
        <v>10589.06</v>
      </c>
      <c r="D29" s="398"/>
      <c r="E29" s="400">
        <f>SUM(C23:C29)</f>
        <v>68185.440000000002</v>
      </c>
      <c r="F29" s="762"/>
      <c r="G29" s="886"/>
      <c r="H29" s="417" t="e">
        <f t="shared" si="5"/>
        <v>#DIV/0!</v>
      </c>
      <c r="I29" s="420" t="e">
        <f t="shared" si="6"/>
        <v>#DIV/0!</v>
      </c>
      <c r="J29" s="420" t="e">
        <f>(#REF!-#REF!)/#REF!</f>
        <v>#REF!</v>
      </c>
      <c r="R29" s="50">
        <f t="shared" si="1"/>
        <v>2018.4999999999986</v>
      </c>
      <c r="S29" s="112">
        <f t="shared" si="7"/>
        <v>10590.94</v>
      </c>
      <c r="AC29" s="76" t="s">
        <v>528</v>
      </c>
      <c r="AD29" s="76">
        <f>(1-Reykjavík!$C$6)*AD12</f>
        <v>1617.5659639185499</v>
      </c>
      <c r="AE29" s="76">
        <f>(1-Reykjavík!$C$6)*AE12</f>
        <v>1658.0493767953687</v>
      </c>
      <c r="AF29" s="76">
        <f>(1-Reykjavík!C$6)*AF12</f>
        <v>1481.0654183919639</v>
      </c>
      <c r="AG29" s="76">
        <f>(1-Reykjavík!D$6)*AG12</f>
        <v>1676.6165164913402</v>
      </c>
      <c r="AH29" s="76">
        <f>(1-Reykjavík!E$6)*AH12</f>
        <v>1991.4878113876907</v>
      </c>
      <c r="AI29" s="76">
        <f>(1-Reykjavík!F$6)*AI12</f>
        <v>2013.9447386408806</v>
      </c>
      <c r="AJ29" s="76">
        <f>(1-Reykjavík!G$6)*AJ12</f>
        <v>1833.3406404896625</v>
      </c>
      <c r="AK29" s="76">
        <f>(1-Reykjavík!H$6)*AK12</f>
        <v>1472.6585697081064</v>
      </c>
    </row>
    <row r="30" spans="1:37" ht="14.25" x14ac:dyDescent="0.65">
      <c r="A30" s="883"/>
      <c r="B30" s="396" t="s">
        <v>20</v>
      </c>
      <c r="C30" s="397">
        <v>11116.02</v>
      </c>
      <c r="D30" s="398"/>
      <c r="E30" s="400">
        <f>SUM(C23:C30)</f>
        <v>79301.460000000006</v>
      </c>
      <c r="F30" s="762"/>
      <c r="G30" s="886"/>
      <c r="H30" s="417" t="e">
        <f t="shared" si="5"/>
        <v>#DIV/0!</v>
      </c>
      <c r="I30" s="420" t="e">
        <f t="shared" si="6"/>
        <v>#DIV/0!</v>
      </c>
      <c r="J30" s="420" t="e">
        <f>(#REF!-#REF!)/#REF!</f>
        <v>#REF!</v>
      </c>
      <c r="R30" s="50">
        <f t="shared" si="1"/>
        <v>2018.5833333333319</v>
      </c>
      <c r="S30" s="112">
        <f t="shared" si="7"/>
        <v>10329.120000000001</v>
      </c>
      <c r="AC30" s="76" t="s">
        <v>530</v>
      </c>
      <c r="AD30" s="76">
        <f>(1-Reykjavík!$C$6)*AD13</f>
        <v>36128.647886814928</v>
      </c>
      <c r="AE30" s="76">
        <f>(1-Reykjavík!$C$6)*AE13</f>
        <v>37032.852724025986</v>
      </c>
      <c r="AF30" s="76">
        <f>(1-Reykjavík!C$6)*AF13</f>
        <v>33079.881866947988</v>
      </c>
      <c r="AG30" s="76">
        <f>(1-Reykjavík!D$6)*AG13</f>
        <v>37447.553371359114</v>
      </c>
      <c r="AH30" s="76">
        <f>(1-Reykjavík!E$6)*AH13</f>
        <v>44480.264492096154</v>
      </c>
      <c r="AI30" s="76">
        <f>(1-Reykjavík!F$6)*AI13</f>
        <v>44981.844294990158</v>
      </c>
      <c r="AJ30" s="76">
        <f>(1-Reykjavík!G$6)*AJ13</f>
        <v>40948.016918198438</v>
      </c>
      <c r="AK30" s="76">
        <f>(1-Reykjavík!H$6)*AK13</f>
        <v>32892.113279631136</v>
      </c>
    </row>
    <row r="31" spans="1:37" ht="14.25" x14ac:dyDescent="0.65">
      <c r="A31" s="883"/>
      <c r="B31" s="396" t="s">
        <v>211</v>
      </c>
      <c r="C31" s="397">
        <v>10037.959999999999</v>
      </c>
      <c r="D31" s="398"/>
      <c r="E31" s="400">
        <f>SUM(C23:C31)</f>
        <v>89339.420000000013</v>
      </c>
      <c r="F31" s="762"/>
      <c r="G31" s="886"/>
      <c r="H31" s="417" t="e">
        <f t="shared" si="5"/>
        <v>#DIV/0!</v>
      </c>
      <c r="I31" s="420" t="e">
        <f t="shared" si="6"/>
        <v>#DIV/0!</v>
      </c>
      <c r="J31" s="420" t="e">
        <f>(#REF!-#REF!)/#REF!</f>
        <v>#REF!</v>
      </c>
      <c r="R31" s="50">
        <f t="shared" si="1"/>
        <v>2018.6666666666652</v>
      </c>
      <c r="S31" s="112">
        <f t="shared" si="7"/>
        <v>9486.02</v>
      </c>
    </row>
    <row r="32" spans="1:37" ht="14.25" x14ac:dyDescent="0.65">
      <c r="A32" s="883"/>
      <c r="B32" s="396" t="s">
        <v>213</v>
      </c>
      <c r="C32" s="397">
        <v>10419.18</v>
      </c>
      <c r="D32" s="398"/>
      <c r="E32" s="400">
        <f>SUM(C23:C32)</f>
        <v>99758.6</v>
      </c>
      <c r="F32" s="762"/>
      <c r="G32" s="886"/>
      <c r="H32" s="417" t="e">
        <f t="shared" si="5"/>
        <v>#DIV/0!</v>
      </c>
      <c r="I32" s="420" t="e">
        <f t="shared" si="6"/>
        <v>#DIV/0!</v>
      </c>
      <c r="J32" s="420" t="e">
        <f>(#REF!-#REF!)/#REF!</f>
        <v>#REF!</v>
      </c>
      <c r="R32" s="50">
        <f t="shared" si="1"/>
        <v>2018.7499999999984</v>
      </c>
      <c r="S32" s="112">
        <f t="shared" si="7"/>
        <v>10851.76</v>
      </c>
    </row>
    <row r="33" spans="1:19" ht="14.25" x14ac:dyDescent="0.65">
      <c r="A33" s="883"/>
      <c r="B33" s="396" t="s">
        <v>216</v>
      </c>
      <c r="C33" s="397">
        <v>10267.51</v>
      </c>
      <c r="D33" s="398"/>
      <c r="E33" s="400">
        <f>SUM(C23:C33)</f>
        <v>110026.11</v>
      </c>
      <c r="F33" s="762"/>
      <c r="G33" s="886"/>
      <c r="H33" s="417" t="e">
        <f t="shared" si="5"/>
        <v>#DIV/0!</v>
      </c>
      <c r="I33" s="420" t="e">
        <f t="shared" si="6"/>
        <v>#DIV/0!</v>
      </c>
      <c r="J33" s="420" t="e">
        <f>(#REF!-#REF!)/#REF!</f>
        <v>#REF!</v>
      </c>
      <c r="R33" s="50">
        <f t="shared" si="1"/>
        <v>2018.8333333333317</v>
      </c>
      <c r="S33" s="112">
        <f t="shared" si="7"/>
        <v>9454.1200000000008</v>
      </c>
    </row>
    <row r="34" spans="1:19" ht="15" thickBot="1" x14ac:dyDescent="0.8">
      <c r="A34" s="896"/>
      <c r="B34" s="404" t="s">
        <v>217</v>
      </c>
      <c r="C34" s="405">
        <v>9171.84</v>
      </c>
      <c r="D34" s="408"/>
      <c r="E34" s="400">
        <f>SUM(C23:C34)</f>
        <v>119197.95</v>
      </c>
      <c r="F34" s="762"/>
      <c r="G34" s="886"/>
      <c r="H34" s="421" t="e">
        <f t="shared" si="5"/>
        <v>#DIV/0!</v>
      </c>
      <c r="I34" s="424" t="e">
        <f t="shared" si="6"/>
        <v>#DIV/0!</v>
      </c>
      <c r="J34" s="424" t="e">
        <f>(#REF!-#REF!)/#REF!</f>
        <v>#REF!</v>
      </c>
      <c r="R34" s="50">
        <f t="shared" si="1"/>
        <v>2018.9166666666649</v>
      </c>
      <c r="S34" s="112">
        <f t="shared" si="7"/>
        <v>8887.74</v>
      </c>
    </row>
    <row r="35" spans="1:19" ht="15" thickBot="1" x14ac:dyDescent="0.75">
      <c r="A35" s="409" t="s">
        <v>21</v>
      </c>
      <c r="B35" s="425"/>
      <c r="C35" s="411">
        <f>SUM(C23:C34)</f>
        <v>119197.95</v>
      </c>
      <c r="D35" s="755">
        <v>123079</v>
      </c>
      <c r="E35" s="412">
        <f>E29</f>
        <v>68185.440000000002</v>
      </c>
      <c r="F35" s="760"/>
      <c r="G35" s="887"/>
      <c r="H35" s="426" t="e">
        <f t="shared" si="5"/>
        <v>#DIV/0!</v>
      </c>
      <c r="I35" s="428" t="e">
        <f t="shared" si="6"/>
        <v>#DIV/0!</v>
      </c>
      <c r="J35" s="428" t="e">
        <f>(#REF!-#REF!)/#REF!</f>
        <v>#REF!</v>
      </c>
      <c r="R35" s="50">
        <f t="shared" si="1"/>
        <v>2018.9999999999982</v>
      </c>
      <c r="S35" s="112">
        <f>N13</f>
        <v>10359.98</v>
      </c>
    </row>
    <row r="36" spans="1:19" ht="14.25" x14ac:dyDescent="0.65">
      <c r="A36" s="883">
        <v>2018</v>
      </c>
      <c r="B36" s="388" t="s">
        <v>191</v>
      </c>
      <c r="C36" s="389">
        <v>10796.84</v>
      </c>
      <c r="D36" s="390"/>
      <c r="E36" s="392">
        <f>C36</f>
        <v>10796.84</v>
      </c>
      <c r="F36" s="761"/>
      <c r="G36" s="885" t="s">
        <v>274</v>
      </c>
      <c r="H36" s="415">
        <f t="shared" si="5"/>
        <v>0.14155394046534048</v>
      </c>
      <c r="I36" s="416">
        <f t="shared" si="6"/>
        <v>0.14155394046534048</v>
      </c>
      <c r="J36" s="416" t="e">
        <f>(#REF!-#REF!)/#REF!</f>
        <v>#REF!</v>
      </c>
      <c r="R36" s="50">
        <f t="shared" si="1"/>
        <v>2019.0833333333314</v>
      </c>
      <c r="S36" s="112">
        <f t="shared" ref="S36:S46" si="8">N14</f>
        <v>8657.68</v>
      </c>
    </row>
    <row r="37" spans="1:19" ht="14.25" x14ac:dyDescent="0.65">
      <c r="A37" s="883"/>
      <c r="B37" s="396" t="s">
        <v>195</v>
      </c>
      <c r="C37" s="397">
        <v>9341.42</v>
      </c>
      <c r="D37" s="398"/>
      <c r="E37" s="400">
        <f>SUM(C36:C37)</f>
        <v>20138.260000000002</v>
      </c>
      <c r="F37" s="762"/>
      <c r="G37" s="886"/>
      <c r="H37" s="417">
        <f t="shared" si="5"/>
        <v>8.3741704951505833E-2</v>
      </c>
      <c r="I37" s="420">
        <f t="shared" si="6"/>
        <v>0.11398845644504084</v>
      </c>
      <c r="J37" s="420" t="e">
        <f>(#REF!-#REF!)/#REF!</f>
        <v>#REF!</v>
      </c>
      <c r="R37" s="50">
        <f t="shared" si="1"/>
        <v>2019.1666666666647</v>
      </c>
      <c r="S37" s="112">
        <f t="shared" si="8"/>
        <v>8700.56</v>
      </c>
    </row>
    <row r="38" spans="1:19" ht="14.25" x14ac:dyDescent="0.65">
      <c r="A38" s="883"/>
      <c r="B38" s="396" t="s">
        <v>15</v>
      </c>
      <c r="C38" s="397">
        <v>9466.7000000000007</v>
      </c>
      <c r="D38" s="398"/>
      <c r="E38" s="400">
        <f>SUM(C36:C38)</f>
        <v>29604.960000000003</v>
      </c>
      <c r="F38" s="762"/>
      <c r="G38" s="886"/>
      <c r="H38" s="417">
        <f t="shared" si="5"/>
        <v>-4.7040467082746049E-2</v>
      </c>
      <c r="I38" s="420">
        <f t="shared" si="6"/>
        <v>5.6881394221398117E-2</v>
      </c>
      <c r="J38" s="420" t="e">
        <f>(#REF!-#REF!)/#REF!</f>
        <v>#REF!</v>
      </c>
      <c r="R38" s="50">
        <f t="shared" si="1"/>
        <v>2019.249999999998</v>
      </c>
      <c r="S38" s="112">
        <f t="shared" si="8"/>
        <v>8838.84</v>
      </c>
    </row>
    <row r="39" spans="1:19" ht="14.25" x14ac:dyDescent="0.65">
      <c r="A39" s="883"/>
      <c r="B39" s="396" t="s">
        <v>16</v>
      </c>
      <c r="C39" s="397">
        <v>9656.73</v>
      </c>
      <c r="D39" s="398"/>
      <c r="E39" s="400">
        <f>SUM(C36:C39)</f>
        <v>39261.69</v>
      </c>
      <c r="F39" s="762"/>
      <c r="G39" s="886"/>
      <c r="H39" s="417">
        <f t="shared" si="5"/>
        <v>0.16957706562023098</v>
      </c>
      <c r="I39" s="420">
        <f t="shared" ref="I39:I54" si="9">(E39-E26)/E26</f>
        <v>8.2536997955786118E-2</v>
      </c>
      <c r="J39" s="420" t="e">
        <f>(#REF!-#REF!)/#REF!</f>
        <v>#REF!</v>
      </c>
      <c r="R39" s="50">
        <f t="shared" si="1"/>
        <v>2019.3333333333312</v>
      </c>
      <c r="S39" s="112">
        <f t="shared" si="8"/>
        <v>10672.39</v>
      </c>
    </row>
    <row r="40" spans="1:19" ht="14.25" x14ac:dyDescent="0.65">
      <c r="A40" s="883"/>
      <c r="B40" s="396" t="s">
        <v>17</v>
      </c>
      <c r="C40" s="397">
        <v>10785.22</v>
      </c>
      <c r="D40" s="398"/>
      <c r="E40" s="400">
        <f>SUM(C36:C40)</f>
        <v>50046.91</v>
      </c>
      <c r="F40" s="762"/>
      <c r="G40" s="886"/>
      <c r="H40" s="417">
        <f t="shared" si="5"/>
        <v>1.8095968101254249E-2</v>
      </c>
      <c r="I40" s="420">
        <f t="shared" si="9"/>
        <v>6.7969520551306839E-2</v>
      </c>
      <c r="J40" s="420" t="e">
        <f>(#REF!-#REF!)/#REF!</f>
        <v>#REF!</v>
      </c>
      <c r="R40" s="50">
        <f t="shared" si="1"/>
        <v>2019.4166666666645</v>
      </c>
      <c r="S40" s="112">
        <f t="shared" si="8"/>
        <v>8821.0400000000009</v>
      </c>
    </row>
    <row r="41" spans="1:19" ht="14.25" x14ac:dyDescent="0.65">
      <c r="A41" s="883"/>
      <c r="B41" s="396" t="s">
        <v>18</v>
      </c>
      <c r="C41" s="397">
        <v>10218.74</v>
      </c>
      <c r="D41" s="398"/>
      <c r="E41" s="400">
        <f>SUM(C36:C41)</f>
        <v>60265.65</v>
      </c>
      <c r="F41" s="762"/>
      <c r="G41" s="886"/>
      <c r="H41" s="417">
        <f t="shared" si="5"/>
        <v>-4.805936668579474E-2</v>
      </c>
      <c r="I41" s="420">
        <f t="shared" si="9"/>
        <v>4.6344405672717567E-2</v>
      </c>
      <c r="J41" s="420" t="e">
        <f>(#REF!-#REF!)/#REF!</f>
        <v>#REF!</v>
      </c>
      <c r="R41" s="50">
        <f t="shared" si="1"/>
        <v>2019.4999999999977</v>
      </c>
      <c r="S41" s="112">
        <f t="shared" si="8"/>
        <v>9611.26</v>
      </c>
    </row>
    <row r="42" spans="1:19" ht="14.25" x14ac:dyDescent="0.65">
      <c r="A42" s="883"/>
      <c r="B42" s="396" t="s">
        <v>19</v>
      </c>
      <c r="C42" s="397">
        <v>10590.94</v>
      </c>
      <c r="D42" s="398"/>
      <c r="E42" s="400">
        <f>SUM(C36:C42)</f>
        <v>70856.59</v>
      </c>
      <c r="F42" s="762"/>
      <c r="G42" s="886"/>
      <c r="H42" s="417">
        <f t="shared" si="5"/>
        <v>1.7754172702780216E-4</v>
      </c>
      <c r="I42" s="420">
        <f t="shared" si="9"/>
        <v>3.9174785702050088E-2</v>
      </c>
      <c r="J42" s="420" t="e">
        <f>(#REF!-#REF!)/#REF!</f>
        <v>#REF!</v>
      </c>
      <c r="R42" s="50">
        <f t="shared" si="1"/>
        <v>2019.583333333331</v>
      </c>
      <c r="S42" s="112">
        <f t="shared" si="8"/>
        <v>8938.94</v>
      </c>
    </row>
    <row r="43" spans="1:19" ht="14.25" x14ac:dyDescent="0.65">
      <c r="A43" s="883"/>
      <c r="B43" s="396" t="s">
        <v>20</v>
      </c>
      <c r="C43" s="397">
        <v>10329.120000000001</v>
      </c>
      <c r="D43" s="398"/>
      <c r="E43" s="400">
        <f>SUM(C36:C43)</f>
        <v>81185.709999999992</v>
      </c>
      <c r="F43" s="762"/>
      <c r="G43" s="886"/>
      <c r="H43" s="417">
        <f t="shared" si="5"/>
        <v>-7.0789725099451029E-2</v>
      </c>
      <c r="I43" s="420">
        <f t="shared" si="9"/>
        <v>2.3760596589268157E-2</v>
      </c>
      <c r="J43" s="420" t="e">
        <f>(#REF!-#REF!)/#REF!</f>
        <v>#REF!</v>
      </c>
      <c r="R43" s="50">
        <f t="shared" si="1"/>
        <v>2019.6666666666642</v>
      </c>
      <c r="S43" s="112">
        <f t="shared" si="8"/>
        <v>9020.64</v>
      </c>
    </row>
    <row r="44" spans="1:19" ht="14.25" x14ac:dyDescent="0.65">
      <c r="A44" s="883"/>
      <c r="B44" s="396" t="s">
        <v>211</v>
      </c>
      <c r="C44" s="397">
        <v>9486.02</v>
      </c>
      <c r="D44" s="398"/>
      <c r="E44" s="400">
        <f>SUM(C36:C44)</f>
        <v>90671.73</v>
      </c>
      <c r="F44" s="762"/>
      <c r="G44" s="886"/>
      <c r="H44" s="417">
        <f t="shared" si="5"/>
        <v>-5.4985275892711141E-2</v>
      </c>
      <c r="I44" s="420">
        <f t="shared" si="9"/>
        <v>1.4912901829897518E-2</v>
      </c>
      <c r="J44" s="420" t="e">
        <f>(#REF!-#REF!)/#REF!</f>
        <v>#REF!</v>
      </c>
      <c r="R44" s="50">
        <f t="shared" si="1"/>
        <v>2019.7499999999975</v>
      </c>
      <c r="S44" s="112">
        <f t="shared" si="8"/>
        <v>8615.68</v>
      </c>
    </row>
    <row r="45" spans="1:19" ht="14.25" x14ac:dyDescent="0.65">
      <c r="A45" s="883"/>
      <c r="B45" s="396" t="s">
        <v>213</v>
      </c>
      <c r="C45" s="397">
        <v>10851.76</v>
      </c>
      <c r="D45" s="398"/>
      <c r="E45" s="400">
        <f>SUM(C36:C45)</f>
        <v>101523.48999999999</v>
      </c>
      <c r="F45" s="762"/>
      <c r="G45" s="886"/>
      <c r="H45" s="417">
        <f t="shared" si="5"/>
        <v>4.1517662618363434E-2</v>
      </c>
      <c r="I45" s="420">
        <f t="shared" si="9"/>
        <v>1.7691607540602863E-2</v>
      </c>
      <c r="J45" s="420" t="e">
        <f>(#REF!-#REF!)/#REF!</f>
        <v>#REF!</v>
      </c>
      <c r="R45" s="50">
        <f t="shared" si="1"/>
        <v>2019.8333333333308</v>
      </c>
      <c r="S45" s="112">
        <f t="shared" si="8"/>
        <v>7421.58</v>
      </c>
    </row>
    <row r="46" spans="1:19" ht="14.25" x14ac:dyDescent="0.65">
      <c r="A46" s="883"/>
      <c r="B46" s="396" t="s">
        <v>216</v>
      </c>
      <c r="C46" s="397">
        <v>9454.1200000000008</v>
      </c>
      <c r="D46" s="398"/>
      <c r="E46" s="400">
        <f>SUM(C36:C46)</f>
        <v>110977.60999999999</v>
      </c>
      <c r="F46" s="762"/>
      <c r="G46" s="886"/>
      <c r="H46" s="417">
        <f t="shared" si="5"/>
        <v>-7.9219791361293965E-2</v>
      </c>
      <c r="I46" s="420">
        <f t="shared" si="9"/>
        <v>8.647947291783609E-3</v>
      </c>
      <c r="J46" s="420" t="e">
        <f>(#REF!-#REF!)/#REF!</f>
        <v>#REF!</v>
      </c>
      <c r="R46" s="50">
        <f t="shared" si="1"/>
        <v>2019.916666666664</v>
      </c>
      <c r="S46" s="112">
        <f t="shared" si="8"/>
        <v>7410.2</v>
      </c>
    </row>
    <row r="47" spans="1:19" ht="15" thickBot="1" x14ac:dyDescent="0.8">
      <c r="A47" s="896"/>
      <c r="B47" s="404" t="s">
        <v>217</v>
      </c>
      <c r="C47" s="405">
        <v>8887.74</v>
      </c>
      <c r="D47" s="408"/>
      <c r="E47" s="400">
        <f>SUM(C36:C47)</f>
        <v>119865.34999999999</v>
      </c>
      <c r="F47" s="762"/>
      <c r="G47" s="886"/>
      <c r="H47" s="421">
        <f t="shared" si="5"/>
        <v>-3.0975245970274269E-2</v>
      </c>
      <c r="I47" s="424">
        <f t="shared" si="9"/>
        <v>5.5990895816580254E-3</v>
      </c>
      <c r="J47" s="424" t="e">
        <f>(#REF!-#REF!)/#REF!</f>
        <v>#REF!</v>
      </c>
      <c r="R47" s="50">
        <f t="shared" si="1"/>
        <v>2019.9999999999973</v>
      </c>
      <c r="S47" s="112">
        <f>M13</f>
        <v>8379.56</v>
      </c>
    </row>
    <row r="48" spans="1:19" ht="15" thickBot="1" x14ac:dyDescent="0.75">
      <c r="A48" s="409" t="s">
        <v>21</v>
      </c>
      <c r="B48" s="425"/>
      <c r="C48" s="411">
        <f>SUM(C36:C47)</f>
        <v>119865.34999999999</v>
      </c>
      <c r="D48" s="755">
        <f>263064*0.495</f>
        <v>130216.68</v>
      </c>
      <c r="E48" s="412">
        <f>E42</f>
        <v>70856.59</v>
      </c>
      <c r="F48" s="760"/>
      <c r="G48" s="887"/>
      <c r="H48" s="426">
        <f t="shared" si="5"/>
        <v>5.5990895816580254E-3</v>
      </c>
      <c r="I48" s="428">
        <f t="shared" si="9"/>
        <v>3.9174785702050088E-2</v>
      </c>
      <c r="J48" s="428" t="e">
        <f>(#REF!-#REF!)/#REF!</f>
        <v>#REF!</v>
      </c>
      <c r="R48" s="50">
        <f t="shared" si="1"/>
        <v>2020.0833333333305</v>
      </c>
      <c r="S48" s="112">
        <f t="shared" ref="S48:S55" si="10">M14</f>
        <v>6154.64</v>
      </c>
    </row>
    <row r="49" spans="1:19" ht="14.25" customHeight="1" x14ac:dyDescent="0.65">
      <c r="A49" s="883">
        <v>2019</v>
      </c>
      <c r="B49" s="388" t="s">
        <v>191</v>
      </c>
      <c r="C49" s="389">
        <v>10359.98</v>
      </c>
      <c r="D49" s="390"/>
      <c r="E49" s="392">
        <f>C49</f>
        <v>10359.98</v>
      </c>
      <c r="F49" s="761"/>
      <c r="G49" s="885" t="s">
        <v>275</v>
      </c>
      <c r="H49" s="415">
        <f t="shared" si="5"/>
        <v>-4.046183883432565E-2</v>
      </c>
      <c r="I49" s="416">
        <f t="shared" si="9"/>
        <v>-4.046183883432565E-2</v>
      </c>
      <c r="J49" s="416" t="e">
        <f>(#REF!-#REF!)/#REF!</f>
        <v>#REF!</v>
      </c>
      <c r="R49" s="50">
        <f t="shared" si="1"/>
        <v>2020.1666666666638</v>
      </c>
      <c r="S49" s="112">
        <f t="shared" si="10"/>
        <v>7204.3</v>
      </c>
    </row>
    <row r="50" spans="1:19" ht="14.25" x14ac:dyDescent="0.65">
      <c r="A50" s="883"/>
      <c r="B50" s="396" t="s">
        <v>195</v>
      </c>
      <c r="C50" s="397">
        <v>8657.68</v>
      </c>
      <c r="D50" s="398"/>
      <c r="E50" s="400">
        <f>SUM(C49:C50)</f>
        <v>19017.66</v>
      </c>
      <c r="F50" s="762"/>
      <c r="G50" s="886"/>
      <c r="H50" s="417">
        <f t="shared" si="5"/>
        <v>-7.3194439389300536E-2</v>
      </c>
      <c r="I50" s="420">
        <f t="shared" si="9"/>
        <v>-5.5645323876045004E-2</v>
      </c>
      <c r="J50" s="420" t="e">
        <f>(#REF!-#REF!)/#REF!</f>
        <v>#REF!</v>
      </c>
      <c r="R50" s="50">
        <f t="shared" si="1"/>
        <v>2020.249999999997</v>
      </c>
      <c r="S50" s="112">
        <f t="shared" si="10"/>
        <v>7158.26</v>
      </c>
    </row>
    <row r="51" spans="1:19" ht="14.25" x14ac:dyDescent="0.65">
      <c r="A51" s="883"/>
      <c r="B51" s="396" t="s">
        <v>15</v>
      </c>
      <c r="C51" s="397">
        <v>8700.56</v>
      </c>
      <c r="D51" s="398"/>
      <c r="E51" s="400">
        <f>SUM(C49:C51)</f>
        <v>27718.22</v>
      </c>
      <c r="F51" s="762"/>
      <c r="G51" s="886"/>
      <c r="H51" s="417">
        <f t="shared" si="5"/>
        <v>-8.0929996725363773E-2</v>
      </c>
      <c r="I51" s="420">
        <f t="shared" si="9"/>
        <v>-6.3730537045143837E-2</v>
      </c>
      <c r="J51" s="420" t="e">
        <f>(#REF!-#REF!)/#REF!</f>
        <v>#REF!</v>
      </c>
      <c r="R51" s="50">
        <f t="shared" si="1"/>
        <v>2020.3333333333303</v>
      </c>
      <c r="S51" s="112">
        <f t="shared" si="10"/>
        <v>6950.12</v>
      </c>
    </row>
    <row r="52" spans="1:19" ht="14.25" x14ac:dyDescent="0.65">
      <c r="A52" s="883"/>
      <c r="B52" s="396" t="s">
        <v>16</v>
      </c>
      <c r="C52" s="397">
        <v>8838.84</v>
      </c>
      <c r="D52" s="398"/>
      <c r="E52" s="400">
        <f>SUM(C49:C52)</f>
        <v>36557.06</v>
      </c>
      <c r="F52" s="762"/>
      <c r="G52" s="886"/>
      <c r="H52" s="417">
        <f t="shared" si="5"/>
        <v>-8.4696372374499382E-2</v>
      </c>
      <c r="I52" s="420">
        <f t="shared" si="9"/>
        <v>-6.8887253707112572E-2</v>
      </c>
      <c r="J52" s="420" t="e">
        <f>(#REF!-#REF!)/#REF!</f>
        <v>#REF!</v>
      </c>
      <c r="R52" s="50">
        <f t="shared" si="1"/>
        <v>2020.4166666666636</v>
      </c>
      <c r="S52" s="112">
        <f t="shared" si="10"/>
        <v>7245.1</v>
      </c>
    </row>
    <row r="53" spans="1:19" ht="14.25" x14ac:dyDescent="0.65">
      <c r="A53" s="883"/>
      <c r="B53" s="396" t="s">
        <v>17</v>
      </c>
      <c r="C53" s="397">
        <v>10672.39</v>
      </c>
      <c r="D53" s="398"/>
      <c r="E53" s="400">
        <f>SUM(C49:C53)</f>
        <v>47229.45</v>
      </c>
      <c r="F53" s="762"/>
      <c r="G53" s="886"/>
      <c r="H53" s="417">
        <f t="shared" si="5"/>
        <v>-1.0461539032119877E-2</v>
      </c>
      <c r="I53" s="420">
        <f t="shared" si="9"/>
        <v>-5.6296382733719348E-2</v>
      </c>
      <c r="J53" s="420" t="e">
        <f>(#REF!-#REF!)/#REF!</f>
        <v>#REF!</v>
      </c>
      <c r="R53" s="50">
        <f t="shared" si="1"/>
        <v>2020.4999999999968</v>
      </c>
      <c r="S53" s="112">
        <f t="shared" si="10"/>
        <v>7600.9</v>
      </c>
    </row>
    <row r="54" spans="1:19" ht="14.25" x14ac:dyDescent="0.65">
      <c r="A54" s="883"/>
      <c r="B54" s="396" t="s">
        <v>18</v>
      </c>
      <c r="C54" s="397">
        <v>8821.0400000000009</v>
      </c>
      <c r="D54" s="398"/>
      <c r="E54" s="400">
        <f>SUM(C49:C54)</f>
        <v>56050.49</v>
      </c>
      <c r="F54" s="762"/>
      <c r="G54" s="886"/>
      <c r="H54" s="417">
        <f t="shared" si="5"/>
        <v>-0.13677811550151966</v>
      </c>
      <c r="I54" s="420">
        <f t="shared" si="9"/>
        <v>-6.9942994060464017E-2</v>
      </c>
      <c r="J54" s="420" t="e">
        <f>(#REF!-#REF!)/#REF!</f>
        <v>#REF!</v>
      </c>
      <c r="R54" s="50">
        <f t="shared" si="1"/>
        <v>2020.5833333333301</v>
      </c>
      <c r="S54" s="112">
        <f t="shared" si="10"/>
        <v>6408.64</v>
      </c>
    </row>
    <row r="55" spans="1:19" ht="14.25" x14ac:dyDescent="0.65">
      <c r="A55" s="883"/>
      <c r="B55" s="396" t="s">
        <v>19</v>
      </c>
      <c r="C55" s="397">
        <v>9611.26</v>
      </c>
      <c r="D55" s="398"/>
      <c r="E55" s="400">
        <f>SUM(C49:C55)</f>
        <v>65661.75</v>
      </c>
      <c r="F55" s="762"/>
      <c r="G55" s="886"/>
      <c r="H55" s="417">
        <f t="shared" ref="H55:H74" si="11">(C55-C42)/C42</f>
        <v>-9.2501704286871628E-2</v>
      </c>
      <c r="I55" s="420">
        <f t="shared" ref="I55:I67" si="12">(E55-E42)/E42</f>
        <v>-7.3314846226723532E-2</v>
      </c>
      <c r="J55" s="420" t="e">
        <f>(#REF!-#REF!)/#REF!</f>
        <v>#REF!</v>
      </c>
      <c r="R55" s="50">
        <f t="shared" si="1"/>
        <v>2020.6666666666633</v>
      </c>
      <c r="S55" s="112">
        <f t="shared" si="10"/>
        <v>7314.64</v>
      </c>
    </row>
    <row r="56" spans="1:19" ht="14.25" x14ac:dyDescent="0.65">
      <c r="A56" s="883"/>
      <c r="B56" s="396" t="s">
        <v>20</v>
      </c>
      <c r="C56" s="397">
        <v>8938.94</v>
      </c>
      <c r="D56" s="398"/>
      <c r="E56" s="400">
        <f>SUM(C49:C56)</f>
        <v>74600.69</v>
      </c>
      <c r="F56" s="762"/>
      <c r="G56" s="886"/>
      <c r="H56" s="417">
        <f t="shared" si="11"/>
        <v>-0.13458842573229859</v>
      </c>
      <c r="I56" s="420">
        <f t="shared" si="12"/>
        <v>-8.1110579682064615E-2</v>
      </c>
      <c r="J56" s="420" t="e">
        <f>(#REF!-#REF!)/#REF!</f>
        <v>#REF!</v>
      </c>
      <c r="S56" s="112"/>
    </row>
    <row r="57" spans="1:19" ht="14.25" x14ac:dyDescent="0.65">
      <c r="A57" s="883"/>
      <c r="B57" s="396" t="s">
        <v>211</v>
      </c>
      <c r="C57" s="397">
        <v>9020.64</v>
      </c>
      <c r="D57" s="398"/>
      <c r="E57" s="400">
        <f>SUM(C49:C57)</f>
        <v>83621.33</v>
      </c>
      <c r="F57" s="762"/>
      <c r="G57" s="886"/>
      <c r="H57" s="417">
        <f t="shared" si="11"/>
        <v>-4.9059563441780744E-2</v>
      </c>
      <c r="I57" s="420">
        <f t="shared" si="12"/>
        <v>-7.775742229689446E-2</v>
      </c>
      <c r="J57" s="420" t="e">
        <f>(#REF!-#REF!)/#REF!</f>
        <v>#REF!</v>
      </c>
    </row>
    <row r="58" spans="1:19" ht="14.25" x14ac:dyDescent="0.65">
      <c r="A58" s="883"/>
      <c r="B58" s="396" t="s">
        <v>213</v>
      </c>
      <c r="C58" s="397">
        <v>8615.68</v>
      </c>
      <c r="D58" s="398"/>
      <c r="E58" s="400">
        <f>SUM(C49:C58)</f>
        <v>92237.010000000009</v>
      </c>
      <c r="F58" s="762"/>
      <c r="G58" s="886"/>
      <c r="H58" s="417">
        <f t="shared" si="11"/>
        <v>-0.20605689768295649</v>
      </c>
      <c r="I58" s="420">
        <f t="shared" si="12"/>
        <v>-9.1471244733607779E-2</v>
      </c>
      <c r="J58" s="420" t="e">
        <f>(#REF!-#REF!)/#REF!</f>
        <v>#REF!</v>
      </c>
    </row>
    <row r="59" spans="1:19" ht="14.25" x14ac:dyDescent="0.65">
      <c r="A59" s="883"/>
      <c r="B59" s="396" t="s">
        <v>216</v>
      </c>
      <c r="C59" s="397">
        <v>7421.58</v>
      </c>
      <c r="D59" s="398"/>
      <c r="E59" s="400">
        <f>SUM(C49:C59)</f>
        <v>99658.590000000011</v>
      </c>
      <c r="F59" s="762"/>
      <c r="G59" s="886"/>
      <c r="H59" s="417">
        <f t="shared" si="11"/>
        <v>-0.21498986685170071</v>
      </c>
      <c r="I59" s="420">
        <f t="shared" si="12"/>
        <v>-0.10199372648230554</v>
      </c>
      <c r="J59" s="420" t="e">
        <f>(#REF!-#REF!)/#REF!</f>
        <v>#REF!</v>
      </c>
    </row>
    <row r="60" spans="1:19" ht="15" thickBot="1" x14ac:dyDescent="0.8">
      <c r="A60" s="896"/>
      <c r="B60" s="404" t="s">
        <v>217</v>
      </c>
      <c r="C60" s="405">
        <v>7410.2</v>
      </c>
      <c r="D60" s="408"/>
      <c r="E60" s="400">
        <f>SUM(C49:C60)</f>
        <v>107068.79000000001</v>
      </c>
      <c r="F60" s="762"/>
      <c r="G60" s="886"/>
      <c r="H60" s="421">
        <f t="shared" si="11"/>
        <v>-0.16624473713227433</v>
      </c>
      <c r="I60" s="424">
        <f t="shared" si="12"/>
        <v>-0.10675779113813945</v>
      </c>
      <c r="J60" s="424" t="e">
        <f>(#REF!-#REF!)/#REF!</f>
        <v>#REF!</v>
      </c>
    </row>
    <row r="61" spans="1:19" ht="15" thickBot="1" x14ac:dyDescent="0.75">
      <c r="A61" s="409" t="s">
        <v>21</v>
      </c>
      <c r="B61" s="425"/>
      <c r="C61" s="411">
        <f>SUM(C49:C60)</f>
        <v>107068.79000000001</v>
      </c>
      <c r="D61" s="755">
        <f>224756*0.504</f>
        <v>113277.024</v>
      </c>
      <c r="E61" s="412">
        <f>E55</f>
        <v>65661.75</v>
      </c>
      <c r="F61" s="760"/>
      <c r="G61" s="887"/>
      <c r="H61" s="426">
        <f t="shared" si="11"/>
        <v>-0.10675779113813945</v>
      </c>
      <c r="I61" s="428">
        <f t="shared" si="12"/>
        <v>-7.3314846226723532E-2</v>
      </c>
      <c r="J61" s="428" t="e">
        <f>(#REF!-#REF!)/#REF!</f>
        <v>#REF!</v>
      </c>
    </row>
    <row r="62" spans="1:19" ht="14.25" x14ac:dyDescent="0.65">
      <c r="A62" s="883">
        <v>2020</v>
      </c>
      <c r="B62" s="388" t="s">
        <v>191</v>
      </c>
      <c r="C62" s="389">
        <v>8379.56</v>
      </c>
      <c r="D62" s="390"/>
      <c r="E62" s="392">
        <f>C62</f>
        <v>8379.56</v>
      </c>
      <c r="F62" s="761"/>
      <c r="G62" s="885" t="s">
        <v>275</v>
      </c>
      <c r="H62" s="415">
        <f t="shared" si="11"/>
        <v>-0.19116060069614035</v>
      </c>
      <c r="I62" s="416">
        <f t="shared" si="12"/>
        <v>-0.19116060069614035</v>
      </c>
      <c r="J62" s="416" t="e">
        <f>(#REF!-#REF!)/#REF!</f>
        <v>#REF!</v>
      </c>
    </row>
    <row r="63" spans="1:19" ht="14.25" x14ac:dyDescent="0.65">
      <c r="A63" s="883"/>
      <c r="B63" s="396" t="s">
        <v>195</v>
      </c>
      <c r="C63" s="397">
        <v>6154.64</v>
      </c>
      <c r="D63" s="398"/>
      <c r="E63" s="400">
        <f>SUM(C62:C63)</f>
        <v>14534.2</v>
      </c>
      <c r="F63" s="762"/>
      <c r="G63" s="886"/>
      <c r="H63" s="417">
        <f t="shared" si="11"/>
        <v>-0.28911209469511462</v>
      </c>
      <c r="I63" s="420">
        <f t="shared" si="12"/>
        <v>-0.23575245324608807</v>
      </c>
      <c r="J63" s="420" t="e">
        <f>(#REF!-#REF!)/#REF!</f>
        <v>#REF!</v>
      </c>
    </row>
    <row r="64" spans="1:19" ht="14.25" x14ac:dyDescent="0.65">
      <c r="A64" s="883"/>
      <c r="B64" s="396" t="s">
        <v>15</v>
      </c>
      <c r="C64" s="397">
        <v>7204.3</v>
      </c>
      <c r="D64" s="398"/>
      <c r="E64" s="400">
        <f>SUM(C62:C64)</f>
        <v>21738.5</v>
      </c>
      <c r="F64" s="762"/>
      <c r="G64" s="886"/>
      <c r="H64" s="417">
        <f t="shared" si="11"/>
        <v>-0.17197283852993364</v>
      </c>
      <c r="I64" s="420">
        <f t="shared" si="12"/>
        <v>-0.21573246766928039</v>
      </c>
      <c r="J64" s="420" t="e">
        <f>(#REF!-#REF!)/#REF!</f>
        <v>#REF!</v>
      </c>
      <c r="K64" s="50" t="s">
        <v>523</v>
      </c>
    </row>
    <row r="65" spans="1:11" ht="14.25" x14ac:dyDescent="0.65">
      <c r="A65" s="883"/>
      <c r="B65" s="396" t="s">
        <v>16</v>
      </c>
      <c r="C65" s="397">
        <v>7158.26</v>
      </c>
      <c r="D65" s="398"/>
      <c r="E65" s="400">
        <f>SUM(C62:C65)</f>
        <v>28896.760000000002</v>
      </c>
      <c r="F65" s="762"/>
      <c r="G65" s="886"/>
      <c r="H65" s="417">
        <f t="shared" si="11"/>
        <v>-0.19013580967638286</v>
      </c>
      <c r="I65" s="420">
        <f t="shared" si="12"/>
        <v>-0.20954365586291665</v>
      </c>
      <c r="J65" s="420" t="e">
        <f>(#REF!-#REF!)/#REF!</f>
        <v>#REF!</v>
      </c>
      <c r="K65" s="50" t="s">
        <v>524</v>
      </c>
    </row>
    <row r="66" spans="1:11" ht="14.25" x14ac:dyDescent="0.65">
      <c r="A66" s="883"/>
      <c r="B66" s="396" t="s">
        <v>17</v>
      </c>
      <c r="C66" s="397">
        <v>6950.12</v>
      </c>
      <c r="D66" s="398"/>
      <c r="E66" s="400">
        <f>SUM(C62:C66)</f>
        <v>35846.880000000005</v>
      </c>
      <c r="F66" s="762"/>
      <c r="G66" s="886"/>
      <c r="H66" s="417">
        <f t="shared" si="11"/>
        <v>-0.34877567255319564</v>
      </c>
      <c r="I66" s="420">
        <f t="shared" si="12"/>
        <v>-0.24100577076379237</v>
      </c>
      <c r="J66" s="420" t="e">
        <f>(#REF!-#REF!)/#REF!</f>
        <v>#REF!</v>
      </c>
      <c r="K66" s="50" t="s">
        <v>525</v>
      </c>
    </row>
    <row r="67" spans="1:11" ht="14.25" x14ac:dyDescent="0.65">
      <c r="A67" s="883"/>
      <c r="B67" s="396" t="s">
        <v>18</v>
      </c>
      <c r="C67" s="397">
        <v>7245.1</v>
      </c>
      <c r="D67" s="398"/>
      <c r="E67" s="400">
        <f>SUM(C62:C67)</f>
        <v>43091.98</v>
      </c>
      <c r="F67" s="762"/>
      <c r="G67" s="886"/>
      <c r="H67" s="417">
        <f t="shared" si="11"/>
        <v>-0.17865693841089036</v>
      </c>
      <c r="I67" s="420">
        <f t="shared" si="12"/>
        <v>-0.23119351855800002</v>
      </c>
      <c r="J67" s="420" t="e">
        <f>(#REF!-#REF!)/#REF!</f>
        <v>#REF!</v>
      </c>
    </row>
    <row r="68" spans="1:11" ht="14.25" x14ac:dyDescent="0.65">
      <c r="A68" s="883"/>
      <c r="B68" s="396" t="s">
        <v>19</v>
      </c>
      <c r="C68" s="397">
        <v>7600.9</v>
      </c>
      <c r="D68" s="398"/>
      <c r="E68" s="400">
        <f>SUM(C62:C68)</f>
        <v>50692.880000000005</v>
      </c>
      <c r="F68" s="762"/>
      <c r="G68" s="886"/>
      <c r="H68" s="417">
        <f t="shared" si="11"/>
        <v>-0.20916716434681826</v>
      </c>
      <c r="I68" s="420">
        <f t="shared" ref="I68:I74" si="13">(E68-E55)/E55</f>
        <v>-0.22796940380053829</v>
      </c>
      <c r="J68" s="420" t="e">
        <f>(#REF!-#REF!)/#REF!</f>
        <v>#REF!</v>
      </c>
    </row>
    <row r="69" spans="1:11" ht="14.25" x14ac:dyDescent="0.65">
      <c r="A69" s="883"/>
      <c r="B69" s="396" t="s">
        <v>20</v>
      </c>
      <c r="C69" s="397">
        <v>6408.64</v>
      </c>
      <c r="D69" s="398"/>
      <c r="E69" s="400">
        <f>SUM(C62:C69)</f>
        <v>57101.520000000004</v>
      </c>
      <c r="F69" s="762"/>
      <c r="G69" s="886"/>
      <c r="H69" s="417">
        <f t="shared" si="11"/>
        <v>-0.28306488241335104</v>
      </c>
      <c r="I69" s="420">
        <f t="shared" si="13"/>
        <v>-0.23457115477082047</v>
      </c>
      <c r="J69" s="420" t="e">
        <f>(#REF!-#REF!)/#REF!</f>
        <v>#REF!</v>
      </c>
    </row>
    <row r="70" spans="1:11" ht="14.25" x14ac:dyDescent="0.65">
      <c r="A70" s="883"/>
      <c r="B70" s="396" t="s">
        <v>211</v>
      </c>
      <c r="C70" s="397">
        <v>7314.64</v>
      </c>
      <c r="D70" s="398"/>
      <c r="E70" s="400">
        <f>SUM(C62:C70)</f>
        <v>64416.160000000003</v>
      </c>
      <c r="F70" s="762"/>
      <c r="G70" s="886"/>
      <c r="H70" s="417">
        <f t="shared" si="11"/>
        <v>-0.18912183614466371</v>
      </c>
      <c r="I70" s="420">
        <f t="shared" si="13"/>
        <v>-0.22966831548840466</v>
      </c>
      <c r="J70" s="420" t="e">
        <f>(#REF!-#REF!)/#REF!</f>
        <v>#REF!</v>
      </c>
    </row>
    <row r="71" spans="1:11" ht="14.25" x14ac:dyDescent="0.65">
      <c r="A71" s="883"/>
      <c r="B71" s="396" t="s">
        <v>213</v>
      </c>
      <c r="C71" s="397">
        <v>3364.7</v>
      </c>
      <c r="D71" s="398"/>
      <c r="E71" s="400">
        <f>SUM(C62:C71)</f>
        <v>67780.86</v>
      </c>
      <c r="F71" s="762"/>
      <c r="G71" s="886"/>
      <c r="H71" s="417">
        <f t="shared" si="11"/>
        <v>-0.60946785395929282</v>
      </c>
      <c r="I71" s="420">
        <f t="shared" si="13"/>
        <v>-0.26514465288933375</v>
      </c>
      <c r="J71" s="420" t="e">
        <f>(#REF!-#REF!)/#REF!</f>
        <v>#REF!</v>
      </c>
    </row>
    <row r="72" spans="1:11" ht="14.25" x14ac:dyDescent="0.65">
      <c r="A72" s="883"/>
      <c r="B72" s="396" t="s">
        <v>216</v>
      </c>
      <c r="C72" s="397">
        <v>3000</v>
      </c>
      <c r="D72" s="398"/>
      <c r="E72" s="400">
        <f>SUM(C62:C72)</f>
        <v>70780.86</v>
      </c>
      <c r="F72" s="762"/>
      <c r="G72" s="886"/>
      <c r="H72" s="417">
        <f t="shared" si="11"/>
        <v>-0.59577340674088264</v>
      </c>
      <c r="I72" s="420">
        <f t="shared" si="13"/>
        <v>-0.28976659212216438</v>
      </c>
      <c r="J72" s="420" t="e">
        <f>(#REF!-#REF!)/#REF!</f>
        <v>#REF!</v>
      </c>
    </row>
    <row r="73" spans="1:11" ht="15" thickBot="1" x14ac:dyDescent="0.8">
      <c r="A73" s="896"/>
      <c r="B73" s="404" t="s">
        <v>217</v>
      </c>
      <c r="C73" s="405">
        <v>3000</v>
      </c>
      <c r="D73" s="408"/>
      <c r="E73" s="400">
        <f>SUM(C62:C73)</f>
        <v>73780.86</v>
      </c>
      <c r="F73" s="762"/>
      <c r="G73" s="886"/>
      <c r="H73" s="421">
        <f t="shared" si="11"/>
        <v>-0.59515262745944775</v>
      </c>
      <c r="I73" s="424">
        <f t="shared" si="13"/>
        <v>-0.31090227133415821</v>
      </c>
      <c r="J73" s="424" t="e">
        <f>(#REF!-#REF!)/#REF!</f>
        <v>#REF!</v>
      </c>
    </row>
    <row r="74" spans="1:11" ht="15" thickBot="1" x14ac:dyDescent="0.75">
      <c r="A74" s="409" t="s">
        <v>21</v>
      </c>
      <c r="B74" s="425"/>
      <c r="C74" s="411">
        <f>SUM(C62:C73)</f>
        <v>73780.86</v>
      </c>
      <c r="D74" s="755">
        <f>212060*0.42</f>
        <v>89065.2</v>
      </c>
      <c r="E74" s="412">
        <f>E68</f>
        <v>50692.880000000005</v>
      </c>
      <c r="F74" s="760"/>
      <c r="G74" s="887"/>
      <c r="H74" s="426">
        <f t="shared" si="11"/>
        <v>-0.31090227133415821</v>
      </c>
      <c r="I74" s="428">
        <f t="shared" si="13"/>
        <v>-0.22796940380053829</v>
      </c>
      <c r="J74" s="428" t="e">
        <f>(#REF!-#REF!)/#REF!</f>
        <v>#REF!</v>
      </c>
    </row>
  </sheetData>
  <mergeCells count="14">
    <mergeCell ref="A10:A21"/>
    <mergeCell ref="A62:A73"/>
    <mergeCell ref="G62:G74"/>
    <mergeCell ref="A3:H3"/>
    <mergeCell ref="A4:B6"/>
    <mergeCell ref="C4:H4"/>
    <mergeCell ref="G5:J5"/>
    <mergeCell ref="A8:B8"/>
    <mergeCell ref="A23:A34"/>
    <mergeCell ref="G23:G35"/>
    <mergeCell ref="A36:A47"/>
    <mergeCell ref="G36:G48"/>
    <mergeCell ref="A49:A60"/>
    <mergeCell ref="G49:G6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http://schemas.microsoft.com/sharepoint/v3" xsi:nil="true"/>
    <wpItemLocation xmlns="bcbf098e-9cf7-403e-bd79-56d3a600893b">a0cb69f6;3462;917bf4e8;20944;</wpItemLocation>
    <wpTemplateId xmlns="c4503bd2-ad4e-4fda-ac19-fb6493ccda66" xsi:nil="true"/>
    <ManagedMetaDatawpProjecbb8f528e xmlns="bcbf098e-9cf7-403e-bd79-56d3a600893b">2200-973</ManagedMetaDatawpProjecbb8f528e>
    <ManagedMetaDataCompanybe39457e xmlns="bcbf098e-9cf7-403e-bd79-56d3a600893b">Reykjavíkurborg 2200</ManagedMetaDataCompanybe39457e>
    <wpCreatedStage xmlns="bcbf098e-9cf7-403e-bd79-56d3a600893b">Samningsstig</wpCreatedStag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kPoint document" ma:contentTypeID="0x010100C18139275C474FD78397B2DE338CEF760020EAB70EC0523D4D864E5CE8CD1386AB" ma:contentTypeVersion="14" ma:contentTypeDescription="Creates a new WorkPoint document" ma:contentTypeScope="" ma:versionID="c498fcaf25c5f94abc497ad7d51c59aa">
  <xsd:schema xmlns:xsd="http://www.w3.org/2001/XMLSchema" xmlns:xs="http://www.w3.org/2001/XMLSchema" xmlns:p="http://schemas.microsoft.com/office/2006/metadata/properties" xmlns:ns1="http://schemas.microsoft.com/sharepoint/v3" xmlns:ns2="bcbf098e-9cf7-403e-bd79-56d3a600893b" xmlns:ns4="c4503bd2-ad4e-4fda-ac19-fb6493ccda66" xmlns:ns5="86be1f62-91d6-4ffc-a52e-c5ce65aece6c" targetNamespace="http://schemas.microsoft.com/office/2006/metadata/properties" ma:root="true" ma:fieldsID="2564c471d71339dd456bc7f79931fcca" ns1:_="" ns2:_="" ns4:_="" ns5:_="">
    <xsd:import namespace="http://schemas.microsoft.com/sharepoint/v3"/>
    <xsd:import namespace="bcbf098e-9cf7-403e-bd79-56d3a600893b"/>
    <xsd:import namespace="c4503bd2-ad4e-4fda-ac19-fb6493ccda66"/>
    <xsd:import namespace="86be1f62-91d6-4ffc-a52e-c5ce65aece6c"/>
    <xsd:element name="properties">
      <xsd:complexType>
        <xsd:sequence>
          <xsd:element name="documentManagement">
            <xsd:complexType>
              <xsd:all>
                <xsd:element ref="ns1:DocumentType" minOccurs="0"/>
                <xsd:element ref="ns2:wpItemLocation" minOccurs="0"/>
                <xsd:element ref="ns2:wpCreatedStage" minOccurs="0"/>
                <xsd:element ref="ns2:ManagedMetaDataTitlefa564e0f" minOccurs="0"/>
                <xsd:element ref="ns2:ManagedMetaDataVi_x00f064fb6cca" minOccurs="0"/>
                <xsd:element ref="ns2:ManagedMetaDatawpProjecbb8f528e" minOccurs="0"/>
                <xsd:element ref="ns2:ManagedMetaDataCompanybe39457e" minOccurs="0"/>
                <xsd:element ref="ns4:wpTemplat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 Type" ma:format="Dropdown" ma:internalName="DocumentType">
      <xsd:simpleType>
        <xsd:restriction base="dms:Choice">
          <xsd:enumeration value="Technical"/>
          <xsd:enumeration value="Documentation"/>
          <xsd:enumeration value="Variou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f098e-9cf7-403e-bd79-56d3a600893b" elementFormDefault="qualified">
    <xsd:import namespace="http://schemas.microsoft.com/office/2006/documentManagement/types"/>
    <xsd:import namespace="http://schemas.microsoft.com/office/infopath/2007/PartnerControls"/>
    <xsd:element name="wpItemLocation" ma:index="9" nillable="true" ma:displayName="wpItemLocation" ma:internalName="wpItemLocation">
      <xsd:simpleType>
        <xsd:restriction base="dms:Text"/>
      </xsd:simpleType>
    </xsd:element>
    <xsd:element name="wpCreatedStage" ma:index="10" nillable="true" ma:displayName="Created Stage" ma:internalName="wpCreatedStage" ma:readOnly="true">
      <xsd:simpleType>
        <xsd:restriction base="dms:Text"/>
      </xsd:simpleType>
    </xsd:element>
    <xsd:element name="ManagedMetaDataTitlefa564e0f" ma:index="11" nillable="true" ma:displayName="Heiti" ma:internalName="ManagedMetaDataTitlefa564e0f" ma:readOnly="true">
      <xsd:simpleType>
        <xsd:restriction base="dms:Text"/>
      </xsd:simpleType>
    </xsd:element>
    <xsd:element name="ManagedMetaDataVi_x00f064fb6cca" ma:index="12" nillable="true" ma:displayName="Client Number" ma:internalName="ManagedMetaDataVi_x00f064fb6cca" ma:readOnly="true">
      <xsd:simpleType>
        <xsd:restriction base="dms:Text"/>
      </xsd:simpleType>
    </xsd:element>
    <xsd:element name="ManagedMetaDatawpProjecbb8f528e" ma:index="13" nillable="true" ma:displayName="Project Number" ma:internalName="ManagedMetaDatawpProjecbb8f528e" ma:readOnly="true">
      <xsd:simpleType>
        <xsd:restriction base="dms:Text"/>
      </xsd:simpleType>
    </xsd:element>
    <xsd:element name="ManagedMetaDataCompanybe39457e" ma:index="14" nillable="true" ma:displayName="Company" ma:internalName="ManagedMetaDataCompanybe39457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03bd2-ad4e-4fda-ac19-fb6493ccda66" elementFormDefault="qualified">
    <xsd:import namespace="http://schemas.microsoft.com/office/2006/documentManagement/types"/>
    <xsd:import namespace="http://schemas.microsoft.com/office/infopath/2007/PartnerControls"/>
    <xsd:element name="wpTemplateId" ma:index="18" nillable="true" ma:displayName="wpTemplateId" ma:internalName="wpTemplate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be1f62-91d6-4ffc-a52e-c5ce65aece6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2D007-6FCC-4EA3-A6B7-722091C73ABA}">
  <ds:schemaRefs>
    <ds:schemaRef ds:uri="http://purl.org/dc/terms/"/>
    <ds:schemaRef ds:uri="http://purl.org/dc/dcmitype/"/>
    <ds:schemaRef ds:uri="http://schemas.microsoft.com/office/infopath/2007/PartnerControls"/>
    <ds:schemaRef ds:uri="86be1f62-91d6-4ffc-a52e-c5ce65aece6c"/>
    <ds:schemaRef ds:uri="http://schemas.microsoft.com/office/2006/documentManagement/types"/>
    <ds:schemaRef ds:uri="http://www.w3.org/XML/1998/namespace"/>
    <ds:schemaRef ds:uri="bcbf098e-9cf7-403e-bd79-56d3a600893b"/>
    <ds:schemaRef ds:uri="http://schemas.openxmlformats.org/package/2006/metadata/core-properties"/>
    <ds:schemaRef ds:uri="c4503bd2-ad4e-4fda-ac19-fb6493ccda66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837BD58-6633-432A-8939-0F763F7A9E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4DE47-BEC0-4976-A081-2631812157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bf098e-9cf7-403e-bd79-56d3a600893b"/>
    <ds:schemaRef ds:uri="c4503bd2-ad4e-4fda-ac19-fb6493ccda66"/>
    <ds:schemaRef ds:uri="86be1f62-91d6-4ffc-a52e-c5ce65ae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Almennir losunarliðir</vt:lpstr>
      <vt:lpstr>Mælaborð</vt:lpstr>
      <vt:lpstr>Reykjavík</vt:lpstr>
      <vt:lpstr>Orka</vt:lpstr>
      <vt:lpstr>Umferð</vt:lpstr>
      <vt:lpstr>Götuumferð</vt:lpstr>
      <vt:lpstr>Skip</vt:lpstr>
      <vt:lpstr>Flug</vt:lpstr>
      <vt:lpstr>Úrgangur</vt:lpstr>
      <vt:lpstr>Fráveita</vt:lpstr>
      <vt:lpstr>Landbúnaður og landnotkun</vt:lpstr>
      <vt:lpstr>Breytingar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stefan.thor.kristinsson@efla.is</dc:creator>
  <cp:lastModifiedBy>Stefán Þór Kristinsson</cp:lastModifiedBy>
  <cp:lastPrinted>2021-07-28T10:08:26Z</cp:lastPrinted>
  <dcterms:created xsi:type="dcterms:W3CDTF">2020-03-13T16:40:21Z</dcterms:created>
  <dcterms:modified xsi:type="dcterms:W3CDTF">2021-08-31T20:59:21Z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0x010100C18139275C474FD78397B2DE338CEF760020EAB70EC0523D4D864E5CE8CD1386AB</vt:lpwstr>
  </property>
</Properties>
</file>